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<sst xmlns="http://schemas.openxmlformats.org/spreadsheetml/2006/main" count="3785" uniqueCount="2992">
  <si>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</si>
  <si>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</si>
  <si>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</si>
  <si>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</si>
  <si>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</si>
  <si>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</si>
  <si>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</si>
  <si>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</si>
  <si>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</si>
  <si>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</si>
  <si>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</si>
  <si>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</si>
  <si>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</si>
  <si>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</si>
  <si>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</si>
  <si>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</si>
  <si>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</si>
  <si>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</si>
  <si>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</si>
  <si>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</si>
  <si>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</si>
  <si>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</si>
  <si>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</si>
  <si>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</si>
  <si>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</si>
  <si>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</si>
  <si>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</si>
  <si>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</si>
  <si>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</si>
  <si>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</si>
  <si>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</si>
  <si>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</si>
  <si>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</si>
  <si>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</si>
  <si>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</si>
  <si>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</si>
  <si>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</si>
  <si>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</si>
  <si>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</si>
  <si>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</si>
  <si>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</si>
  <si>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</si>
  <si>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</si>
  <si>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</si>
  <si>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</si>
  <si>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</si>
  <si>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</si>
  <si>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</si>
  <si>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</si>
  <si>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</si>
  <si>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</si>
  <si>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</si>
  <si>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</si>
  <si>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</si>
  <si>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</si>
  <si>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</si>
  <si>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</si>
  <si>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</si>
  <si>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</si>
  <si>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</si>
  <si>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</si>
  <si>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</si>
  <si>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</si>
  <si>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</si>
  <si>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</si>
  <si>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</si>
  <si>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</si>
  <si>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</si>
  <si>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</si>
  <si>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</si>
  <si>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</si>
  <si>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</si>
  <si>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</si>
  <si>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</si>
  <si>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</si>
  <si>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</si>
  <si>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</si>
  <si>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</si>
  <si>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</si>
  <si>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</si>
  <si>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</si>
  <si>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</si>
  <si>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</si>
  <si>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</si>
  <si>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</si>
  <si>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</si>
  <si>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</si>
  <si>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</si>
  <si>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</si>
  <si>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</si>
  <si>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</si>
  <si>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</si>
  <si>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</si>
  <si>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</si>
  <si>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</si>
  <si>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</si>
  <si>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</si>
  <si>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</si>
  <si>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</si>
  <si>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</si>
  <si>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</si>
  <si>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</si>
  <si>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</si>
  <si>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</si>
  <si>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</si>
  <si>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</si>
  <si>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</si>
  <si>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</si>
  <si>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</si>
  <si>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</si>
  <si>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</si>
  <si>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</si>
  <si>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</si>
  <si>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</si>
  <si>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</si>
  <si>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</si>
  <si>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</si>
  <si>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</si>
  <si>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</si>
  <si>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</si>
  <si>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</si>
  <si>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</si>
  <si>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</si>
  <si>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</si>
  <si>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</si>
  <si>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</si>
  <si>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</si>
  <si>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</si>
  <si>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</si>
  <si>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</si>
  <si>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</si>
  <si>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</si>
  <si>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</si>
  <si>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</si>
  <si>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</si>
  <si>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</si>
  <si>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</si>
  <si>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</si>
  <si>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</si>
  <si>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</si>
  <si>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</si>
  <si>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</si>
  <si>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</si>
  <si>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</si>
  <si>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</si>
  <si>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</si>
  <si>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</si>
  <si>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</si>
  <si>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</si>
  <si>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</si>
  <si>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</si>
  <si>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</si>
  <si>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</si>
  <si>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</si>
  <si>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</si>
  <si>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</si>
  <si>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</si>
  <si>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</si>
  <si>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</si>
  <si>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</si>
  <si>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</si>
  <si>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</si>
  <si>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</si>
  <si>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</si>
  <si>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</si>
  <si>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</si>
  <si>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</si>
  <si>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</si>
  <si>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</si>
  <si>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</si>
  <si>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</si>
  <si>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</si>
  <si>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</si>
  <si>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</si>
  <si>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</si>
  <si>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</si>
  <si>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</si>
  <si>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</si>
  <si>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</si>
  <si>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</si>
  <si>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</si>
  <si>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</si>
  <si>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</si>
  <si>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</si>
  <si>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</si>
  <si>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</si>
  <si>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</si>
  <si>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</si>
  <si>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</si>
  <si>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</si>
  <si>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</si>
  <si>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</si>
  <si>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</si>
  <si>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</si>
  <si>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</si>
  <si>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</si>
  <si>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</si>
  <si>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</si>
  <si>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</si>
  <si>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</si>
  <si>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</si>
  <si>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</si>
  <si>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</si>
  <si>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</si>
  <si>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</si>
  <si>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</si>
  <si>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</si>
  <si>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</si>
  <si>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</si>
  <si>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</si>
  <si>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</si>
  <si>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</si>
  <si>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</si>
  <si>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</si>
  <si>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</si>
  <si>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</si>
  <si>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</si>
  <si>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</si>
  <si>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</si>
  <si>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</si>
  <si>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</si>
  <si>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</si>
  <si>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</si>
  <si>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</si>
  <si>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</si>
  <si>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</si>
  <si>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</si>
  <si>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</si>
  <si>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</si>
  <si>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</si>
  <si>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</si>
  <si>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</si>
  <si>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</si>
  <si>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</si>
  <si>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</si>
  <si>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</si>
  <si>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</si>
  <si>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</si>
  <si>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</si>
  <si>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</si>
  <si>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</si>
  <si>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</si>
  <si>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</si>
  <si>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</si>
  <si>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</si>
  <si>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</si>
  <si>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</si>
  <si>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</si>
  <si>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</si>
  <si>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</si>
  <si>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</si>
  <si>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</si>
  <si>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</si>
  <si>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</si>
  <si>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</si>
  <si>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</si>
  <si>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</si>
  <si>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</si>
  <si>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</si>
  <si>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</si>
  <si>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</si>
  <si>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</si>
  <si>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</si>
  <si>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</si>
  <si>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</si>
  <si>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</si>
  <si>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</si>
  <si>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</si>
  <si>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</si>
  <si>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</si>
  <si>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</si>
  <si>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</si>
  <si>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</si>
  <si>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</si>
  <si>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</si>
  <si>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</si>
  <si>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</si>
  <si>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</si>
  <si>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</si>
  <si>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</si>
  <si>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</si>
  <si>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</si>
  <si>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</si>
  <si>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</si>
  <si>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</si>
  <si>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</si>
  <si>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</si>
  <si>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</si>
  <si>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</si>
  <si>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</si>
  <si>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</si>
  <si>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</si>
  <si>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</si>
  <si>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</si>
  <si>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</si>
  <si>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</si>
  <si>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</si>
  <si>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</si>
  <si>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</si>
  <si>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</si>
  <si>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</si>
  <si>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</si>
  <si>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</si>
  <si>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</si>
  <si>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</si>
  <si>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</si>
  <si>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</si>
  <si>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</si>
  <si>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</si>
  <si>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</si>
  <si>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</si>
  <si>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</si>
  <si>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</si>
  <si>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</si>
  <si>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</si>
  <si>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</si>
  <si>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</si>
  <si>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</si>
  <si>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</si>
  <si>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</si>
  <si>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</si>
  <si>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</si>
  <si>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</si>
  <si>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</si>
  <si>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</si>
  <si>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</si>
  <si>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</si>
  <si>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</si>
  <si>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</si>
  <si>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</si>
  <si>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</si>
  <si>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</si>
  <si>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</si>
  <si>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</si>
  <si>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</si>
  <si>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</si>
  <si>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</si>
  <si>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</si>
  <si>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</si>
  <si>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</si>
  <si>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</si>
  <si>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</si>
  <si>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</si>
  <si>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</si>
  <si>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</si>
  <si>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</si>
  <si>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</si>
  <si>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</si>
  <si>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</si>
  <si>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</si>
  <si>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</si>
  <si>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</si>
  <si>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</si>
  <si>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</si>
  <si>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</si>
  <si>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</si>
  <si>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</si>
  <si>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</si>
  <si>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</si>
  <si>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</si>
  <si>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</si>
  <si>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</si>
  <si>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</si>
  <si>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</si>
  <si>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</si>
  <si>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</si>
  <si>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</si>
  <si>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</si>
  <si>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</si>
  <si>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</si>
  <si>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</si>
  <si>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</si>
  <si>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</si>
  <si>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</si>
  <si>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</si>
  <si>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</si>
  <si>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</si>
  <si>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</si>
  <si>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</si>
  <si>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</si>
  <si>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</si>
  <si>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</si>
  <si>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</si>
  <si>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</si>
  <si>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</si>
  <si>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</si>
  <si>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</si>
  <si>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</si>
  <si>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</si>
  <si>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</si>
  <si>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</si>
  <si>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</si>
  <si>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</si>
  <si>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</si>
  <si>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</si>
  <si>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</si>
  <si>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</si>
  <si>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</si>
  <si>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</si>
  <si>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</si>
  <si>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</si>
  <si>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</si>
  <si>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</si>
  <si>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</si>
  <si>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</si>
  <si>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</si>
  <si>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</si>
  <si>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</si>
  <si>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</si>
  <si>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</si>
  <si>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</si>
  <si>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</si>
  <si>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</si>
  <si>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</si>
  <si>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</si>
  <si>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</si>
  <si>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</si>
  <si>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</si>
  <si>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</si>
  <si>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</si>
  <si>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</si>
  <si>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</si>
  <si>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</si>
  <si>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</si>
  <si>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</si>
  <si>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</si>
  <si>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</si>
  <si>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</si>
  <si>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</si>
  <si>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</si>
  <si>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</si>
  <si>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</si>
  <si>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</si>
  <si>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</si>
  <si>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</si>
  <si>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</si>
  <si>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</si>
  <si>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</si>
  <si>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</si>
  <si>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</si>
  <si>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</si>
  <si>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</si>
  <si>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</si>
  <si>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</si>
  <si>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</si>
  <si>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</si>
  <si>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</si>
  <si>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</si>
  <si>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</si>
  <si>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</si>
  <si>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</si>
  <si>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</si>
  <si>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</si>
  <si>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</si>
  <si>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</si>
  <si>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</si>
  <si>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</si>
  <si>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</si>
  <si>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</si>
  <si>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</si>
  <si>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</si>
  <si>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</si>
  <si>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</si>
  <si>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</si>
  <si>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</si>
  <si>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</si>
  <si>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</si>
  <si>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</si>
  <si>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</si>
  <si>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</si>
  <si>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</si>
  <si>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</si>
  <si>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</si>
  <si>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</si>
  <si>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</si>
  <si>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</si>
  <si>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</si>
  <si>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</si>
  <si>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</si>
  <si>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</si>
  <si>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</si>
  <si>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</si>
  <si>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</si>
  <si>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</si>
  <si>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</si>
  <si>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</si>
  <si>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</si>
  <si>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</si>
  <si>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</si>
  <si>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</si>
  <si>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</si>
  <si>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</si>
  <si>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</si>
  <si>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</si>
  <si>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</si>
  <si>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</si>
  <si>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</si>
  <si>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</si>
  <si>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</si>
  <si>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</si>
  <si>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</si>
  <si>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</si>
  <si>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</si>
  <si>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</si>
  <si>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</si>
  <si>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</si>
  <si>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</si>
  <si>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</si>
  <si>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</si>
  <si>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</si>
  <si>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</si>
  <si>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</si>
  <si>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</si>
  <si>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</si>
  <si>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</si>
  <si>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</si>
  <si>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</si>
  <si>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</si>
  <si>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</si>
  <si>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</si>
  <si>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</si>
  <si>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</si>
  <si>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</si>
  <si>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</si>
  <si>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</si>
  <si>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</si>
  <si>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</si>
  <si>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</si>
  <si>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</si>
  <si>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</si>
  <si>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</si>
  <si>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</si>
  <si>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</si>
  <si>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</si>
  <si>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</si>
  <si>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</si>
  <si>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</si>
  <si>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</si>
  <si>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</si>
  <si>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</si>
  <si>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</si>
  <si>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</si>
  <si>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</si>
  <si>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</si>
  <si>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</si>
  <si>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</si>
  <si>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</si>
  <si>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</si>
  <si>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</si>
  <si>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</si>
  <si>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</si>
  <si>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</si>
  <si>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</si>
  <si>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</si>
  <si>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</si>
  <si>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</si>
  <si>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</si>
  <si>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</si>
  <si>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</si>
  <si>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</si>
  <si>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</si>
  <si>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</si>
  <si>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</si>
  <si>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</si>
  <si>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</si>
  <si>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</si>
  <si>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</si>
  <si>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</si>
  <si>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</si>
  <si>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</si>
  <si>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</si>
  <si>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</si>
  <si>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</si>
  <si>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</si>
  <si>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</si>
  <si>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</si>
  <si>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</si>
  <si>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</si>
  <si>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</si>
  <si>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</si>
  <si>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</si>
  <si>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</si>
  <si>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</si>
  <si>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</si>
  <si>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</si>
  <si>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</si>
  <si>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</si>
  <si>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</si>
  <si>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</si>
  <si>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</si>
  <si>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</si>
  <si>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</si>
  <si>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</si>
  <si>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</si>
  <si>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</si>
  <si>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</si>
  <si>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</si>
  <si>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</si>
  <si>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</si>
  <si>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</si>
  <si>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</si>
  <si>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</si>
  <si>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</si>
  <si>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</si>
  <si>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</si>
  <si>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</si>
  <si>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</si>
  <si>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</si>
  <si>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</si>
  <si>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</si>
  <si>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</si>
  <si>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</si>
  <si>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</si>
  <si>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</si>
  <si>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</si>
  <si>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</si>
  <si>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</si>
  <si>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</si>
  <si>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</si>
  <si>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</si>
  <si>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</si>
  <si>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</si>
  <si>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</si>
  <si>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</si>
  <si>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</si>
  <si>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</si>
  <si>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</si>
  <si>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</si>
  <si>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</si>
  <si>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</si>
  <si>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</si>
  <si>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</si>
  <si>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</si>
  <si>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</si>
  <si>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</si>
  <si>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</si>
  <si>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</si>
  <si>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</si>
  <si>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</si>
  <si>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</si>
  <si>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</si>
  <si>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</si>
  <si>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</si>
  <si>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</si>
  <si>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</si>
  <si>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</si>
  <si>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</si>
  <si>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</si>
  <si>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</si>
  <si>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</si>
  <si>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</si>
  <si>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</si>
  <si>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</si>
  <si>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</si>
  <si>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</si>
  <si>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</si>
  <si>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</si>
  <si>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</si>
  <si>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</si>
  <si>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</si>
  <si>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</si>
  <si>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</si>
  <si>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</si>
  <si>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</si>
  <si>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</si>
  <si>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</si>
  <si>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</si>
  <si>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</si>
  <si>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</si>
  <si>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</si>
  <si>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</si>
  <si>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</si>
  <si>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</si>
  <si>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</si>
  <si>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</si>
  <si>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</si>
  <si>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</si>
  <si>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</si>
  <si>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</si>
  <si>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</si>
  <si>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</si>
  <si>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</si>
  <si>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</si>
  <si>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</si>
  <si>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</si>
  <si>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</si>
  <si>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</si>
  <si>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</si>
  <si>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</si>
  <si>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</si>
  <si>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</si>
  <si>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</si>
  <si>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</si>
  <si>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</si>
  <si>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</si>
  <si>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</si>
  <si>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</si>
  <si>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</si>
  <si>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</si>
  <si>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</si>
  <si>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</si>
  <si>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</si>
  <si>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</si>
  <si>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</si>
  <si>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</si>
  <si>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</si>
  <si>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</si>
  <si>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</si>
  <si>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</si>
  <si>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</si>
  <si>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</si>
  <si>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</si>
  <si>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</si>
  <si>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</si>
  <si>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</si>
  <si>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</si>
  <si>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</si>
  <si>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</si>
  <si>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</si>
  <si>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</si>
  <si>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</si>
  <si>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</si>
  <si>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</si>
  <si>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</si>
  <si>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</si>
  <si>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</si>
  <si>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</si>
  <si>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</si>
  <si>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</si>
  <si>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</si>
  <si>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</si>
  <si>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</si>
  <si>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</si>
  <si>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</si>
  <si>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</si>
  <si>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</si>
  <si>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</si>
  <si>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</si>
  <si>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</si>
  <si>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</si>
  <si>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</si>
  <si>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</si>
  <si>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</si>
  <si>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</si>
  <si>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</si>
  <si>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</si>
  <si>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</si>
  <si>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</si>
  <si>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</si>
  <si>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</si>
  <si>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</si>
  <si>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</si>
  <si>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</si>
  <si>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</si>
  <si>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</si>
  <si>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</si>
  <si>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</si>
  <si>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</si>
  <si>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</si>
  <si>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</si>
  <si>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</si>
  <si>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</si>
  <si>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</si>
  <si>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</si>
  <si>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</si>
  <si>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</si>
  <si>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</si>
  <si>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</si>
  <si>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</si>
  <si>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</si>
  <si>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</si>
  <si>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</si>
  <si>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</si>
  <si>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</si>
  <si>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</si>
  <si>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</si>
  <si>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</si>
  <si>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</si>
  <si>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</si>
  <si>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</si>
  <si>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</si>
  <si>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</si>
  <si>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</si>
  <si>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</si>
  <si>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</si>
  <si>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</si>
  <si>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</si>
  <si>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</si>
  <si>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</si>
  <si>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</si>
  <si>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</si>
  <si>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</si>
  <si>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</si>
  <si>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</si>
  <si>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</si>
  <si>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</si>
  <si>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</si>
  <si>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</si>
  <si>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</si>
  <si>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</si>
  <si>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</si>
  <si>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</si>
  <si>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</si>
  <si>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</si>
  <si>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</si>
  <si>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</si>
  <si>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</si>
  <si>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</si>
  <si>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</si>
  <si>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</si>
  <si>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</si>
  <si>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</si>
  <si>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</si>
  <si>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</si>
  <si>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</si>
  <si>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</si>
  <si>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</si>
  <si>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</si>
  <si>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</si>
  <si>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</si>
  <si>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</si>
  <si>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</si>
  <si>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</si>
  <si>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</si>
  <si>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</si>
  <si>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</si>
  <si>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</si>
  <si>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</si>
  <si>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</si>
  <si>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</si>
  <si>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</si>
  <si>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</si>
  <si>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</si>
  <si>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</si>
  <si>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</si>
  <si>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</si>
  <si>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</si>
  <si>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</si>
  <si>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</si>
  <si>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</si>
  <si>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</si>
  <si>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</si>
  <si>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</si>
  <si>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</si>
  <si>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</si>
  <si>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</si>
  <si>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</si>
  <si>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</si>
  <si>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</si>
  <si>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</si>
  <si>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</si>
  <si>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</si>
  <si>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</si>
  <si>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</si>
  <si>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</si>
  <si>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</si>
  <si>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</si>
  <si>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</si>
  <si>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</si>
  <si>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</si>
  <si>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</si>
  <si>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</si>
  <si>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</si>
  <si>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</si>
  <si>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</si>
  <si>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</si>
  <si>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</si>
  <si>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</si>
  <si>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</si>
  <si>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</si>
  <si>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</si>
  <si>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</si>
  <si>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</si>
  <si>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</si>
  <si>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</si>
  <si>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</si>
  <si>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</si>
  <si>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</si>
  <si>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</si>
  <si>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</si>
  <si>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</si>
  <si>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</si>
  <si>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</si>
  <si>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</si>
  <si>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</si>
  <si>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</si>
  <si>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</si>
  <si>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</si>
  <si>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</si>
  <si>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</si>
  <si>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</si>
  <si>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</si>
  <si>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</si>
  <si>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</si>
  <si>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</si>
  <si>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</si>
  <si>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</si>
  <si>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</si>
  <si>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</si>
  <si>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</si>
  <si>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</si>
  <si>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</si>
  <si>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</si>
  <si>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</si>
  <si>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</si>
  <si>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</si>
  <si>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</si>
  <si>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</si>
  <si>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</si>
  <si>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</si>
  <si>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</si>
  <si>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</si>
  <si>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</si>
  <si>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</si>
  <si>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</si>
  <si>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</si>
  <si>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</si>
  <si>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</si>
  <si>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</si>
  <si>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</si>
  <si>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</si>
  <si>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</si>
  <si>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</si>
  <si>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</si>
  <si>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</si>
  <si>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</si>
  <si>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</si>
  <si>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</si>
  <si>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</si>
  <si>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</si>
  <si>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</si>
  <si>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</si>
  <si>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</si>
  <si>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</si>
  <si>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</si>
  <si>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</si>
  <si>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</si>
  <si>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</si>
  <si>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</si>
  <si>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</si>
  <si>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</si>
  <si>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</si>
  <si>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</si>
  <si>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</si>
  <si>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</si>
  <si>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</si>
  <si>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</si>
  <si>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</si>
  <si>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</si>
  <si>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</si>
  <si>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</si>
  <si>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</si>
  <si>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</si>
  <si>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</si>
  <si>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</si>
  <si>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</si>
  <si>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</si>
  <si>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</si>
  <si>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</si>
  <si>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</si>
  <si>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</si>
  <si>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</si>
  <si>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</si>
  <si>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</si>
  <si>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</si>
  <si>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</si>
  <si>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</si>
  <si>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</si>
  <si>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</si>
  <si>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</si>
  <si>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</si>
  <si>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</si>
  <si>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</si>
  <si>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</si>
  <si>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</si>
  <si>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</si>
  <si>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</si>
  <si>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</si>
  <si>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</si>
  <si>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</si>
  <si>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</si>
  <si>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</si>
  <si>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</si>
  <si>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</si>
  <si>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</si>
  <si>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</si>
  <si>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</si>
  <si>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</si>
  <si>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</si>
  <si>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</si>
  <si>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</si>
  <si>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</si>
  <si>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</si>
  <si>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</si>
  <si>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</si>
  <si>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</si>
  <si>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</si>
  <si>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</si>
  <si>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</si>
  <si>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</si>
  <si>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</si>
  <si>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</si>
  <si>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</si>
  <si>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</si>
  <si>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</si>
  <si>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</si>
  <si>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</si>
  <si>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</si>
  <si>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</si>
  <si>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</si>
  <si>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</si>
  <si>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</si>
  <si>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</si>
  <si>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</si>
  <si>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</si>
  <si>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</si>
  <si>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</si>
  <si>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</si>
  <si>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</si>
  <si>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</si>
  <si>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</si>
  <si>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</si>
  <si>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</si>
  <si>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</si>
  <si>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</si>
  <si>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</si>
  <si>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</si>
  <si>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</si>
  <si>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</si>
  <si>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</si>
  <si>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</si>
  <si>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</si>
  <si>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</si>
  <si>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</si>
  <si>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</si>
  <si>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</si>
  <si>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</si>
  <si>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</si>
  <si>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</si>
  <si>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</si>
  <si>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</si>
  <si>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</si>
  <si>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</si>
  <si>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</si>
  <si>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</si>
  <si>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</si>
  <si>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</si>
  <si>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</si>
  <si>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</si>
  <si>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</si>
  <si>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</si>
  <si>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</si>
  <si>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</si>
  <si>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</si>
  <si>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</si>
  <si>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</si>
  <si>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</si>
  <si>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</si>
  <si>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</si>
  <si>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</si>
  <si>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</si>
  <si>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</si>
  <si>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</si>
  <si>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</si>
  <si>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</si>
  <si>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</si>
  <si>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</si>
  <si>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</si>
  <si>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</si>
  <si>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</si>
  <si>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</si>
  <si>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</si>
  <si>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</si>
  <si>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</si>
  <si>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</si>
  <si>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</si>
  <si>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</si>
  <si>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</si>
  <si>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</si>
  <si>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</si>
  <si>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</si>
  <si>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</si>
  <si>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</si>
  <si>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</si>
  <si>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</si>
  <si>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</si>
  <si>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</si>
  <si>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</si>
  <si>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</si>
  <si>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</si>
  <si>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</si>
  <si>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</si>
  <si>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</si>
  <si>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</si>
  <si>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</si>
  <si>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</si>
  <si>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</si>
  <si>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</si>
  <si>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</si>
  <si>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</si>
  <si>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</si>
  <si>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</si>
  <si>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</si>
  <si>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</si>
  <si>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</si>
  <si>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</si>
  <si>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</si>
  <si>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</si>
  <si>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</si>
  <si>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</si>
  <si>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</si>
  <si>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</si>
  <si>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</si>
  <si>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</si>
  <si>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</si>
  <si>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</si>
  <si>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</si>
  <si>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</si>
  <si>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</si>
  <si>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</si>
  <si>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</si>
  <si>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</si>
  <si>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</si>
  <si>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</si>
  <si>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</si>
  <si>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</si>
  <si>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</si>
  <si>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</si>
  <si>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</si>
  <si>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</si>
  <si>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</si>
  <si>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</si>
  <si>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</si>
  <si>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</si>
  <si>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</si>
  <si>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</si>
  <si>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</si>
  <si>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</si>
  <si>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</si>
  <si>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</si>
  <si>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</si>
  <si>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</si>
  <si>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</si>
  <si>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</si>
  <si>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</si>
  <si>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</si>
  <si>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</si>
  <si>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</si>
  <si>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</si>
  <si>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</si>
  <si>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</si>
  <si>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</si>
  <si>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</si>
  <si>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</si>
  <si>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</si>
  <si>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</si>
  <si>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</si>
  <si>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</si>
  <si>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</si>
  <si>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</si>
  <si>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</si>
  <si>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</si>
  <si>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</si>
  <si>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</si>
  <si>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</si>
  <si>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</si>
  <si>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</si>
  <si>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</si>
  <si>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</si>
  <si>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</si>
  <si>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</si>
  <si>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</si>
  <si>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</si>
  <si>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</si>
  <si>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</si>
  <si>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</si>
  <si>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</si>
  <si>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</si>
  <si>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</si>
  <si>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</si>
  <si>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</si>
  <si>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</si>
  <si>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</si>
  <si>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</si>
  <si>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</si>
  <si>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</si>
  <si>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</si>
  <si>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</si>
  <si>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</si>
  <si>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</si>
  <si>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</si>
  <si>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</si>
  <si>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</si>
  <si>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</si>
  <si>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</si>
  <si>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</si>
  <si>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</si>
  <si>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</si>
  <si>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</si>
  <si>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</si>
  <si>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</si>
  <si>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</si>
  <si>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</si>
  <si>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</si>
  <si>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</si>
  <si>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</si>
  <si>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</si>
  <si>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</si>
  <si>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</si>
  <si>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</si>
  <si>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</si>
  <si>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</si>
  <si>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</si>
  <si>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</si>
  <si>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</si>
  <si>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</si>
  <si>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</si>
  <si>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</si>
  <si>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</si>
  <si>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</si>
  <si>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</si>
  <si>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</si>
  <si>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</si>
  <si>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</si>
  <si>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</si>
  <si>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</si>
  <si>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</si>
  <si>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</si>
  <si>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</si>
  <si>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</si>
  <si>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</si>
  <si>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</si>
  <si>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</si>
  <si>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</si>
  <si>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</si>
  <si>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</si>
  <si>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</si>
  <si>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</si>
  <si>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</si>
  <si>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</si>
  <si>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</si>
  <si>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</si>
  <si>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</si>
  <si>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</si>
  <si>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</si>
  <si>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</si>
  <si>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</si>
  <si>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</si>
  <si>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</si>
  <si>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</si>
  <si>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</si>
  <si>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</si>
  <si>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</si>
  <si>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</si>
  <si>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</si>
  <si>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</si>
  <si>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</si>
  <si>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</si>
  <si>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</si>
  <si>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</si>
  <si>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</si>
  <si>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</si>
  <si>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</si>
  <si>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</si>
  <si>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</si>
  <si>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</si>
  <si>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</si>
  <si>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</si>
  <si>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</si>
  <si>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</si>
  <si>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</si>
  <si>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</si>
  <si>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</si>
  <si>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</si>
  <si>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</si>
  <si>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</si>
  <si>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</si>
  <si>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</si>
  <si>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</si>
  <si>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</si>
  <si>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</si>
  <si>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</si>
  <si>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</si>
  <si>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</si>
  <si>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</si>
  <si>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</si>
  <si>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</si>
  <si>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</si>
  <si>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</si>
  <si>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</si>
  <si>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</si>
  <si>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</si>
  <si>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</si>
  <si>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</si>
  <si>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</si>
  <si>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</si>
  <si>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</si>
  <si>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</si>
  <si>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</si>
  <si>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</si>
  <si>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</si>
  <si>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</si>
  <si>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</si>
  <si>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</si>
  <si>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</si>
  <si>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</si>
  <si>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</si>
  <si>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</si>
  <si>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</si>
  <si>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</si>
  <si>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</si>
  <si>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</si>
  <si>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</si>
  <si>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</si>
  <si>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</si>
  <si>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</si>
  <si>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</si>
  <si>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</si>
  <si>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</si>
  <si>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</si>
  <si>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</si>
  <si>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</si>
  <si>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</si>
  <si>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</si>
  <si>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</si>
  <si>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</si>
  <si>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</si>
  <si>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</si>
  <si>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</si>
  <si>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</si>
  <si>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</si>
  <si>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</si>
  <si>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</si>
  <si>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</si>
  <si>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</si>
  <si>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</si>
  <si>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</si>
  <si>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</si>
  <si>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</si>
  <si>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</si>
  <si>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</si>
  <si>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</si>
  <si>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</si>
  <si>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</si>
  <si>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</si>
  <si>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</si>
  <si>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</si>
  <si>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</si>
  <si>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</si>
  <si>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</si>
  <si>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</si>
  <si>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</si>
  <si>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</si>
  <si>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</si>
  <si>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</si>
  <si>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</si>
  <si>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</si>
  <si>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</si>
  <si>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</si>
  <si>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</si>
  <si>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</si>
  <si>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</si>
  <si>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</si>
  <si>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</si>
  <si>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</si>
  <si>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</si>
  <si>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</si>
  <si>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</si>
  <si>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</si>
  <si>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</si>
  <si>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</si>
  <si>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</si>
  <si>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</si>
  <si>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</si>
  <si>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</si>
  <si>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</si>
  <si>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</si>
  <si>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</si>
  <si>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</si>
  <si>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</si>
  <si>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</si>
  <si>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</si>
  <si>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</si>
  <si>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</si>
  <si>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</si>
  <si>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</si>
  <si>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</si>
  <si>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</si>
  <si>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</si>
  <si>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</si>
  <si>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</si>
  <si>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</si>
  <si>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</si>
  <si>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</si>
  <si>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</si>
  <si>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</si>
  <si>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</si>
  <si>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</si>
  <si>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</si>
  <si>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</si>
  <si>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</si>
  <si>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</si>
  <si>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</si>
  <si>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</si>
  <si>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</si>
  <si>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</si>
  <si>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</si>
  <si>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</si>
  <si>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</si>
  <si>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</si>
  <si>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</si>
  <si>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</si>
  <si>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</si>
  <si>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</si>
  <si>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</si>
  <si>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</si>
  <si>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</si>
  <si>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</si>
  <si>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</si>
  <si>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</si>
  <si>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</si>
  <si>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</si>
  <si>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</si>
  <si>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</si>
  <si>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</si>
  <si>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</si>
  <si>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</si>
  <si>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</si>
  <si>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</si>
  <si>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</si>
  <si>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</si>
  <si>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</si>
  <si>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</si>
  <si>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</si>
  <si>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</si>
  <si>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</si>
  <si>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</si>
  <si>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</si>
  <si>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</si>
  <si>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</si>
  <si>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</si>
  <si>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</si>
  <si>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</si>
  <si>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</si>
  <si>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</si>
  <si>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</si>
  <si>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</si>
  <si>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</si>
  <si>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</si>
  <si>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</si>
  <si>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</si>
  <si>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</si>
  <si>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</si>
  <si>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</si>
  <si>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</si>
  <si>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</si>
  <si>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</si>
  <si>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</si>
  <si>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</si>
  <si>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</si>
  <si>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</si>
  <si>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</si>
  <si>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</si>
  <si>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</si>
  <si>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</si>
  <si>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</si>
  <si>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</si>
  <si>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</si>
  <si>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</si>
  <si>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</si>
  <si>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</si>
  <si>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</si>
  <si>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</si>
  <si>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</si>
  <si>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</si>
  <si>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</si>
  <si>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</si>
  <si>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</si>
  <si>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</si>
  <si>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</si>
  <si>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</si>
  <si>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</si>
  <si>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</si>
  <si>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</si>
  <si>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</si>
  <si>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</si>
  <si>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</si>
  <si>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</si>
  <si>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</si>
  <si>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</si>
  <si>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</si>
  <si>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</si>
  <si>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</si>
  <si>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</si>
  <si>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</si>
  <si>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</si>
  <si>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</si>
  <si>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</si>
  <si>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</si>
  <si>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</si>
  <si>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</si>
  <si>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</si>
  <si>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</si>
  <si>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</si>
  <si>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</si>
  <si>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</si>
  <si>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</si>
  <si>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</si>
  <si>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</si>
  <si>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</si>
  <si>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</si>
  <si>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</si>
  <si>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</si>
  <si>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</si>
  <si>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</si>
  <si>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</si>
  <si>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</si>
  <si>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</si>
  <si>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</si>
  <si>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</si>
  <si>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</si>
  <si>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</si>
  <si>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</si>
  <si>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</si>
  <si>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</si>
  <si>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</si>
  <si>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</si>
  <si>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</si>
  <si>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</si>
  <si>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</si>
  <si>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</si>
  <si>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</si>
  <si>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</si>
  <si>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</si>
  <si>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</si>
  <si>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</si>
  <si>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</si>
  <si>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</si>
  <si>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</si>
  <si>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</si>
  <si>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</si>
  <si>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</si>
  <si>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</si>
  <si>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</si>
  <si>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</si>
  <si>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</si>
  <si>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</si>
  <si>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</si>
  <si>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</si>
  <si>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</si>
  <si>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</si>
  <si>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</si>
  <si>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</si>
  <si>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</si>
  <si>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</si>
  <si>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</si>
  <si>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</si>
  <si>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</si>
  <si>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</si>
  <si>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</si>
  <si>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</si>
  <si>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</si>
  <si>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</si>
  <si>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</si>
  <si>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</si>
  <si>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</si>
  <si>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</si>
  <si>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</si>
  <si>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</si>
  <si>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</si>
  <si>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</si>
  <si>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</si>
  <si>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</si>
  <si>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</si>
  <si>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</si>
  <si>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</si>
  <si>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</si>
  <si>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</si>
  <si>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</si>
  <si>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</si>
  <si>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</si>
  <si>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</si>
  <si>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</si>
  <si>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</si>
  <si>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</si>
  <si>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</si>
  <si>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</si>
  <si>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</si>
  <si>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</si>
  <si>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</si>
  <si>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</si>
  <si>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</si>
  <si>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</si>
  <si>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</si>
  <si>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</si>
  <si>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</si>
  <si>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</si>
  <si>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</si>
  <si>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</si>
  <si>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</si>
  <si>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</si>
  <si>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</si>
  <si>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</si>
  <si>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</si>
  <si>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</si>
  <si>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</si>
  <si>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</si>
  <si>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</si>
  <si>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</si>
  <si>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</si>
  <si>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</si>
  <si>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</si>
  <si>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</si>
  <si>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</si>
  <si>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</si>
  <si>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</si>
  <si>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</si>
  <si>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</si>
  <si>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</si>
  <si>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</si>
  <si>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</si>
  <si>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</si>
  <si>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</si>
  <si>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</si>
  <si>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</si>
  <si>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</si>
  <si>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</si>
  <si>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</si>
  <si>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</si>
  <si>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</si>
  <si>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</si>
  <si>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</si>
  <si>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</si>
  <si>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</si>
  <si>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</si>
  <si>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</si>
  <si>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</si>
  <si>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</si>
  <si>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</si>
  <si>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</si>
  <si>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</si>
  <si>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</si>
  <si>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</si>
  <si>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</si>
  <si>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</si>
  <si>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</si>
  <si>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</si>
  <si>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</si>
  <si>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</si>
  <si>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</si>
  <si>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</si>
  <si>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</si>
  <si>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</si>
  <si>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</si>
  <si>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</si>
  <si>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</si>
  <si>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</si>
  <si>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</si>
  <si>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</si>
  <si>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</si>
  <si>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</si>
  <si>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</si>
  <si>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</si>
  <si>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</si>
  <si>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</si>
  <si>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</si>
  <si>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</si>
  <si>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</si>
  <si>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</si>
  <si>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</si>
  <si>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</si>
  <si>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</si>
  <si>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</si>
  <si>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</si>
  <si>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</si>
  <si>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</si>
  <si>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</si>
  <si>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</si>
  <si>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</si>
  <si>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</si>
  <si>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</si>
  <si>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</si>
  <si>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</si>
  <si>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</si>
  <si>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</si>
  <si>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</si>
  <si>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</si>
  <si>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</si>
  <si>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</si>
  <si>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</si>
  <si>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</si>
  <si>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</si>
  <si>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</si>
  <si>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</si>
  <si>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</si>
  <si>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</si>
  <si>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</si>
  <si>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</si>
  <si>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</si>
  <si>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</si>
  <si>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</si>
  <si>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</si>
  <si>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</si>
  <si>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</si>
  <si>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</si>
  <si>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</si>
  <si>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</si>
  <si>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</si>
  <si>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</si>
  <si>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</si>
  <si>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</si>
  <si>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</si>
  <si>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</si>
  <si>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</si>
  <si>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</si>
  <si>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</si>
  <si>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</si>
  <si>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</si>
  <si>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</si>
  <si>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</si>
  <si>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</si>
  <si>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</si>
  <si>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</si>
  <si>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</si>
  <si>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</si>
  <si>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</si>
  <si>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</si>
  <si>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</si>
  <si>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</si>
  <si>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</si>
  <si>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</si>
  <si>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</si>
  <si>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</si>
  <si>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</si>
  <si>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</si>
  <si>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</si>
  <si>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</si>
  <si>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</si>
  <si>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</si>
  <si>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</si>
  <si>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</si>
  <si>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</si>
  <si>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</si>
  <si>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</si>
  <si>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</si>
  <si>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</si>
  <si>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</si>
  <si>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</si>
  <si>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</si>
  <si>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</si>
  <si>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</si>
  <si>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</si>
  <si>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</si>
  <si>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</si>
  <si>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</si>
  <si>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</si>
  <si>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</si>
  <si>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</si>
  <si>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</si>
  <si>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</si>
  <si>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</si>
  <si>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</si>
  <si>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</si>
  <si>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</si>
  <si>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</si>
  <si>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</si>
  <si>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</si>
  <si>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</si>
  <si>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</si>
  <si>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</si>
  <si>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</si>
  <si>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</si>
  <si>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</si>
  <si>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</si>
  <si>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</si>
  <si>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</si>
  <si>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</si>
  <si>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</si>
  <si>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</si>
  <si>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</si>
  <si>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</si>
  <si>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</si>
  <si>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</si>
  <si>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</si>
  <si>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</si>
  <si>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</si>
  <si>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</si>
  <si>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</si>
  <si>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</si>
  <si>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</si>
  <si>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</si>
  <si>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</si>
  <si>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</si>
  <si>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</si>
  <si>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</si>
  <si>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</si>
  <si>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</si>
  <si>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</si>
  <si>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</si>
  <si>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</si>
  <si>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</si>
  <si>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</si>
  <si>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</si>
  <si>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</si>
  <si>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</si>
  <si>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</si>
  <si>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</si>
  <si>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</si>
  <si>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</si>
  <si>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</si>
  <si>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</si>
  <si>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</si>
  <si>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</si>
  <si>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</si>
  <si>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</si>
  <si>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</si>
  <si>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</si>
  <si>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</si>
  <si>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</si>
  <si>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</si>
  <si>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</si>
  <si>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</si>
  <si>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</si>
  <si>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</si>
  <si>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</si>
  <si>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</si>
  <si>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</si>
  <si>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</si>
  <si>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</si>
  <si>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</si>
  <si>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</si>
  <si>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</si>
  <si>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</si>
  <si>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</si>
  <si>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</si>
  <si>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</si>
  <si>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</si>
  <si>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</si>
  <si>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</si>
  <si>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</si>
  <si>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</si>
  <si>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</si>
  <si>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</si>
  <si>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</si>
  <si>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</si>
  <si>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</si>
  <si>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</si>
  <si>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</si>
  <si>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</si>
  <si>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</si>
  <si>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</si>
  <si>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</si>
  <si>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</si>
  <si>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</si>
  <si>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</si>
  <si>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</si>
  <si>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</si>
  <si>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</si>
  <si>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</si>
  <si>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</si>
  <si>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</si>
  <si>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</si>
  <si>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</si>
  <si>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</si>
  <si>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</si>
  <si>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</si>
  <si>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</si>
  <si>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</si>
  <si>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</si>
  <si>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</si>
  <si>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</si>
  <si>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</si>
  <si>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</si>
  <si>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</si>
  <si>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</si>
  <si>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</si>
  <si>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</si>
  <si>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</si>
  <si>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</si>
  <si>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</si>
  <si>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</si>
  <si>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</si>
  <si>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</si>
  <si>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</si>
  <si>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</si>
  <si>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</si>
  <si>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</si>
  <si>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</si>
  <si>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</si>
  <si>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</si>
  <si>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</si>
  <si>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</si>
  <si>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</si>
  <si>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</si>
  <si>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</si>
  <si>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</si>
  <si>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</si>
  <si>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</si>
  <si>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</si>
  <si>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</si>
  <si>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</si>
  <si>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</si>
  <si>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</si>
  <si>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</si>
  <si>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</si>
  <si>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</si>
  <si>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</si>
  <si>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</si>
  <si>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</si>
  <si>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</si>
  <si>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</si>
  <si>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</si>
  <si>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</si>
  <si>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</si>
  <si>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</si>
  <si>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</si>
  <si>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</si>
  <si>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</si>
  <si>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</si>
  <si>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</si>
  <si>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</si>
  <si>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</si>
  <si>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</si>
  <si>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</si>
  <si>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</si>
  <si>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</si>
  <si>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</si>
  <si>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</si>
  <si>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</si>
  <si>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</si>
  <si>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</si>
  <si>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</si>
  <si>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</si>
  <si>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</si>
  <si>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</si>
  <si>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</si>
  <si>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</si>
  <si>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</si>
  <si>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</si>
  <si>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</si>
  <si>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</si>
  <si>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</si>
  <si>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</si>
  <si>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</si>
  <si>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</si>
  <si>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</si>
  <si>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</si>
  <si>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</si>
  <si>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</si>
  <si>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</si>
  <si>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</si>
  <si>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</si>
  <si>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</si>
  <si>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</si>
  <si>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</si>
  <si>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</si>
  <si>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</si>
  <si>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</si>
  <si>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</si>
  <si>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</si>
  <si>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</si>
  <si>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</si>
  <si>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</si>
  <si>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</si>
  <si>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</si>
  <si>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</si>
  <si>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</si>
  <si>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</si>
  <si>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</si>
  <si>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</si>
  <si>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</si>
  <si>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</si>
  <si>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</si>
  <si>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</si>
  <si>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</si>
  <si>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</si>
  <si>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</si>
  <si>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</si>
  <si>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</si>
  <si>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</si>
  <si>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</si>
  <si>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</si>
  <si>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</si>
  <si>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</si>
  <si>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</si>
  <si>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</si>
  <si>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</si>
  <si>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</si>
  <si>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</si>
  <si>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</si>
  <si>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</si>
  <si>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</si>
  <si>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</si>
  <si>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</si>
  <si>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</si>
  <si>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</si>
  <si>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</si>
  <si>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</si>
  <si>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</si>
  <si>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</si>
  <si>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</si>
  <si>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</si>
  <si>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</si>
  <si>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</si>
  <si>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</si>
  <si>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</si>
  <si>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</si>
  <si>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</si>
  <si>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</si>
  <si>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</si>
  <si>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</si>
  <si>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</si>
  <si>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</si>
  <si>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</si>
  <si>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</si>
  <si>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</si>
  <si>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</si>
  <si>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</si>
  <si>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</si>
  <si>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</si>
  <si>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</si>
  <si>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</si>
  <si>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</si>
  <si>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</si>
  <si>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</si>
  <si>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</si>
  <si>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</si>
  <si>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</si>
  <si>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</si>
  <si>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</si>
  <si>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</si>
  <si>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</si>
  <si>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</si>
  <si>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</si>
  <si>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</si>
  <si>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</si>
  <si>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</si>
  <si>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</si>
  <si>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</si>
  <si>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</si>
  <si>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</si>
  <si>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</si>
  <si>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</si>
  <si>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</si>
  <si>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</si>
  <si>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</si>
  <si>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</si>
  <si>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</si>
  <si>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</si>
  <si>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</si>
  <si>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</si>
  <si>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</si>
  <si>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</si>
  <si>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</si>
  <si>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</si>
  <si>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</si>
  <si>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</si>
  <si>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</si>
  <si>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</si>
  <si>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</si>
  <si>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</si>
  <si>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</si>
  <si>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</si>
  <si>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</si>
  <si>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</si>
  <si>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</si>
  <si>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</si>
  <si>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</si>
  <si>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</si>
  <si>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</si>
  <si>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</si>
  <si>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</si>
  <si>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</si>
  <si>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</si>
  <si>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</si>
  <si>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</si>
  <si>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</si>
  <si>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</si>
  <si>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</si>
  <si>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</si>
  <si>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</si>
  <si>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</si>
  <si>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</si>
  <si>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</si>
  <si>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</si>
  <si>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</si>
  <si>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</si>
  <si>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</si>
  <si>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</si>
  <si>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</si>
  <si>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</si>
  <si>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</si>
  <si>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</si>
  <si>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</si>
  <si>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</si>
  <si>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</si>
  <si>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</si>
  <si>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</si>
  <si>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</si>
  <si>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</si>
  <si>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</si>
  <si>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</si>
  <si>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</si>
  <si>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</si>
  <si>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</si>
  <si>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</si>
  <si>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</si>
  <si>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</si>
  <si>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</si>
  <si>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</si>
  <si>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</si>
  <si>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</si>
  <si>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</si>
  <si>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</si>
  <si>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</si>
  <si>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</si>
  <si>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</si>
  <si>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</si>
  <si>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</si>
  <si>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</si>
  <si>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</si>
  <si>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</si>
  <si>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</si>
  <si>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</si>
  <si>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</si>
  <si>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</si>
  <si>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</si>
  <si>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</si>
  <si>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</si>
  <si>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</si>
  <si>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</si>
  <si>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</si>
  <si>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</si>
  <si>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</si>
  <si>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</si>
  <si>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</si>
  <si>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</si>
  <si>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</si>
  <si>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</si>
  <si>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</si>
  <si>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</si>
  <si>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</si>
  <si>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</si>
  <si>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</si>
  <si>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</si>
  <si>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</si>
  <si>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</si>
  <si>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</si>
  <si>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</si>
  <si>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</si>
  <si>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</si>
  <si>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</si>
  <si>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</si>
  <si>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</si>
  <si>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</si>
  <si>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</si>
  <si>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</si>
  <si>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</si>
  <si>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</si>
  <si>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</si>
  <si>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</si>
  <si>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</si>
  <si>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</si>
  <si>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</si>
  <si>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</si>
  <si>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</si>
  <si>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</si>
  <si>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</si>
  <si>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</si>
  <si>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</si>
  <si>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</si>
  <si>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</si>
  <si>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</si>
  <si>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</si>
  <si>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</si>
  <si>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</si>
  <si>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</si>
  <si>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</si>
  <si>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</si>
  <si>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</si>
  <si>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</si>
  <si>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</si>
  <si>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</si>
  <si>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</si>
  <si>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</si>
  <si>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</si>
  <si>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</si>
  <si>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</si>
  <si>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</si>
  <si>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</si>
  <si>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</si>
  <si>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</si>
  <si>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</si>
  <si>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</si>
  <si>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</si>
  <si>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</si>
  <si>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</si>
  <si>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</si>
  <si>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</si>
  <si>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</si>
  <si>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</si>
  <si>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</si>
  <si>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</si>
  <si>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</si>
  <si>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</si>
  <si>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</si>
  <si>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</si>
  <si>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</si>
  <si>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</si>
  <si>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</si>
  <si>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</si>
  <si>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</si>
  <si>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</si>
  <si>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</si>
  <si>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</si>
  <si>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</si>
  <si>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</si>
  <si>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</si>
  <si>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</si>
  <si>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</si>
  <si>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</si>
  <si>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</si>
  <si>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</si>
  <si>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</si>
  <si>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</si>
  <si>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</si>
  <si>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</si>
  <si>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</si>
  <si>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</si>
  <si>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</si>
  <si>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</si>
  <si>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</si>
  <si>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</si>
  <si>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</si>
  <si>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</si>
  <si>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</si>
  <si>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</si>
  <si>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</si>
  <si>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</si>
  <si>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</si>
  <si>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</si>
  <si>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</si>
  <si>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</si>
  <si>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</si>
  <si>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</si>
  <si>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</si>
  <si>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</si>
  <si>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</si>
  <si>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</si>
  <si>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</si>
  <si>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</si>
  <si>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</si>
  <si>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</si>
  <si>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</si>
  <si>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</si>
  <si>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</si>
  <si>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</si>
  <si>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</si>
  <si>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</si>
  <si>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</si>
  <si>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</si>
  <si>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</si>
  <si>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</si>
  <si>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</si>
  <si>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</si>
  <si>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</si>
  <si>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</si>
  <si>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</si>
  <si>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</si>
  <si>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</si>
  <si>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</si>
  <si>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</si>
  <si>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</si>
  <si>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</si>
  <si>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</si>
  <si>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</si>
  <si>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</si>
  <si>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</si>
  <si>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</si>
  <si>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</si>
  <si>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</si>
  <si>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</si>
  <si>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</si>
  <si>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</si>
  <si>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</si>
  <si>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</si>
  <si>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</si>
  <si>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</si>
  <si>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</si>
  <si>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</si>
  <si>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</si>
  <si>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</si>
  <si>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</si>
  <si>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</si>
  <si>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</si>
  <si>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</si>
  <si>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</si>
  <si>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</si>
  <si>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</si>
  <si>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</si>
  <si>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</si>
  <si>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</si>
  <si>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</si>
  <si>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</si>
  <si>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</si>
  <si>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</si>
  <si>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</si>
  <si>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</si>
  <si>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</si>
  <si>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</si>
  <si>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</si>
  <si>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</si>
  <si>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</si>
  <si>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</si>
  <si>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</si>
  <si>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</si>
  <si>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</si>
  <si>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</si>
  <si>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</si>
  <si>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</si>
  <si>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</si>
  <si>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</si>
  <si>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</si>
  <si>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</si>
  <si>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</si>
  <si>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</si>
  <si>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</si>
  <si>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</si>
  <si>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</si>
  <si>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</si>
  <si>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</si>
  <si>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</si>
  <si>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</si>
  <si>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</si>
  <si>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</si>
  <si>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</si>
  <si>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</si>
  <si>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</si>
  <si>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</si>
  <si>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</si>
  <si>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</si>
  <si>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</si>
  <si>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</si>
  <si>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</si>
  <si>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</si>
  <si>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</si>
  <si>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</si>
  <si>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</si>
  <si>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</si>
  <si>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</si>
  <si>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</si>
  <si>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</si>
  <si>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</si>
  <si>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</si>
  <si>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</si>
  <si>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</si>
  <si>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</si>
  <si>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</si>
  <si>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</si>
  <si>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</si>
  <si>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</si>
  <si>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</si>
  <si>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</si>
  <si>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</si>
  <si>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</si>
  <si>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</si>
  <si>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</si>
  <si>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</si>
  <si>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</si>
  <si>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</si>
  <si>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</si>
  <si>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</si>
  <si>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</si>
  <si>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</si>
  <si>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</si>
  <si>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</si>
  <si>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</si>
  <si>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</si>
  <si>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</si>
  <si>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</si>
  <si>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</si>
  <si>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</si>
  <si>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</si>
  <si>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</si>
  <si>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</si>
  <si>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</si>
  <si>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</si>
  <si>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</si>
  <si>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</si>
  <si>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</si>
  <si>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</si>
  <si>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</si>
  <si>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</si>
  <si>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</si>
  <si>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</si>
  <si>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</si>
  <si>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</si>
  <si>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</si>
  <si>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</si>
  <si>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</si>
  <si>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</si>
  <si>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</si>
  <si>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</si>
  <si>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</si>
  <si>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</si>
  <si>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</si>
  <si>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</si>
  <si>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</si>
  <si>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</si>
  <si>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</si>
  <si>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</si>
  <si>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</si>
  <si>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</si>
  <si>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</si>
  <si>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</si>
  <si>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</si>
  <si>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</si>
  <si>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</si>
  <si>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</si>
  <si>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</si>
  <si>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</si>
  <si>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</si>
  <si>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</si>
  <si>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</si>
  <si>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</si>
  <si>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</si>
  <si>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</si>
  <si>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</si>
  <si>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</si>
  <si>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</si>
  <si>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</si>
  <si>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</si>
  <si>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</si>
  <si>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</si>
  <si>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</si>
  <si>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</si>
  <si>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</si>
  <si>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</si>
  <si>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</si>
  <si>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</si>
  <si>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</si>
  <si>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</si>
  <si>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</si>
  <si>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</si>
  <si>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</si>
  <si>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</si>
  <si>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</si>
  <si>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</si>
  <si>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</si>
  <si>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</si>
  <si>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</si>
  <si>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</si>
  <si>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</si>
  <si>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</si>
  <si>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</si>
  <si>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</si>
  <si>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</si>
  <si>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</si>
  <si>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</si>
  <si>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</si>
  <si>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</si>
  <si>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</si>
  <si>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</si>
  <si>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</si>
  <si>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</si>
  <si>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</si>
  <si>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</si>
  <si>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</si>
  <si>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</si>
  <si>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</si>
  <si>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</si>
  <si>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</si>
  <si>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</si>
  <si>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</si>
  <si>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</si>
  <si>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</si>
  <si>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</si>
  <si>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</si>
  <si>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</si>
  <si>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</si>
  <si>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</si>
  <si>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</si>
  <si>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</si>
  <si>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</si>
  <si>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</si>
  <si>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</si>
  <si>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</si>
  <si>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</si>
  <si>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</si>
  <si>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</si>
  <si>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</si>
  <si>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</si>
  <si>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</si>
  <si>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</si>
  <si>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</si>
  <si>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</si>
  <si>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</si>
  <si>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</si>
  <si>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</si>
  <si>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</si>
  <si>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</si>
  <si>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</si>
  <si>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</si>
  <si>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</si>
  <si>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</si>
  <si>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</si>
  <si>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</si>
  <si>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</si>
  <si>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</si>
  <si>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</si>
  <si>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</si>
  <si>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</si>
  <si>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</si>
  <si>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</si>
  <si>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</si>
  <si>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</si>
  <si>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</si>
  <si>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</si>
  <si>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</si>
  <si>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</si>
  <si>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</si>
  <si>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</si>
  <si>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</si>
  <si>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</si>
  <si>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</si>
  <si>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</si>
  <si>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</si>
  <si>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</si>
  <si>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</si>
  <si>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</si>
  <si>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</si>
  <si>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</si>
  <si>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</si>
  <si>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</si>
  <si>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</si>
  <si>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</si>
  <si>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</si>
  <si>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</si>
  <si>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</si>
  <si>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</si>
  <si>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</si>
  <si>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</si>
  <si>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</si>
  <si>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</si>
  <si>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</si>
  <si>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</si>
  <si>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</si>
  <si>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</si>
  <si>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</si>
  <si>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</si>
  <si>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</si>
  <si>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</si>
  <si>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</si>
  <si>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</si>
  <si>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</si>
  <si>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</si>
  <si>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</si>
  <si>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</si>
  <si>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</si>
  <si>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</si>
  <si>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</si>
  <si>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</si>
  <si>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</si>
  <si>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</si>
  <si>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</si>
  <si>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</si>
  <si>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</si>
  <si>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</si>
  <si>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</si>
  <si>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</si>
  <si>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</si>
  <si>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</si>
  <si>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</si>
  <si>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</si>
  <si>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</si>
  <si>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</si>
  <si>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</si>
  <si>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</si>
  <si>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</si>
  <si>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</si>
  <si>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</si>
  <si>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</si>
  <si>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</si>
  <si>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</si>
  <si>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</si>
  <si>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</si>
  <si>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</si>
  <si>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</si>
  <si>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</si>
  <si>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</si>
  <si>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</si>
  <si>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</si>
  <si>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</si>
  <si>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</si>
  <si>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</si>
  <si>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</si>
  <si>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</si>
  <si>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</si>
  <si>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</si>
  <si>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</si>
  <si>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</si>
  <si>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</si>
  <si>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</si>
  <si>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</si>
  <si>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</si>
  <si>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</si>
  <si>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</si>
  <si>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</si>
  <si>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</si>
  <si>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</si>
  <si>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</si>
  <si>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</si>
  <si>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</si>
  <si>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</si>
  <si>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</si>
  <si>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</si>
  <si>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</si>
  <si>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</si>
  <si>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</si>
  <si>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</si>
  <si>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</si>
  <si>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</si>
  <si>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</si>
  <si>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</si>
  <si>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</si>
  <si>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</si>
  <si>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</si>
  <si>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</si>
  <si>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</si>
  <si>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</si>
  <si>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</si>
  <si>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</si>
  <si>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</si>
  <si>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</si>
  <si>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</si>
  <si>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</si>
  <si>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</si>
  <si>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</si>
  <si>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</si>
  <si>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</si>
  <si>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</si>
  <si>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</si>
  <si>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</si>
  <si>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</si>
  <si>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</si>
  <si>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</si>
  <si>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</si>
  <si>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</si>
  <si>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</si>
  <si>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</si>
  <si>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</si>
  <si>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</si>
  <si>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</si>
  <si>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</si>
  <si>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</si>
  <si>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</si>
  <si>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</si>
  <si>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</si>
  <si>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</si>
  <si>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</si>
  <si>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</si>
  <si>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</si>
  <si>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</si>
  <si>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</si>
  <si>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</si>
  <si>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</si>
  <si>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</si>
  <si>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</si>
  <si>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</si>
  <si>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</si>
  <si>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</si>
  <si>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</si>
  <si>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</si>
  <si>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</si>
  <si>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</si>
  <si>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</si>
  <si>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</si>
  <si>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</si>
  <si>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</si>
  <si>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</si>
  <si>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</si>
  <si>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</si>
  <si>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</si>
  <si>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</si>
  <si>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</si>
  <si>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</si>
  <si>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</si>
  <si>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</si>
  <si>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</si>
  <si>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</si>
  <si>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</si>
  <si>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</si>
  <si>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</si>
  <si>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</si>
  <si>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</si>
  <si>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</si>
  <si>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</si>
  <si>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</si>
  <si>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</si>
  <si>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</si>
  <si>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</si>
  <si>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</si>
  <si>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</si>
  <si>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</si>
  <si>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</si>
  <si>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</si>
  <si>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</si>
  <si>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</si>
  <si>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</si>
  <si>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</si>
  <si>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</si>
  <si>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</si>
  <si>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</si>
  <si>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</si>
  <si>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</si>
  <si>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</si>
  <si>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</si>
  <si>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</si>
  <si>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</si>
  <si>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</si>
  <si>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</si>
  <si>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</si>
  <si>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</si>
  <si>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</si>
  <si>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</si>
  <si>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</si>
  <si>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</si>
  <si>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</si>
  <si>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</si>
  <si>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</si>
  <si>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</si>
  <si>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</si>
  <si>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</si>
  <si>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</si>
  <si>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</si>
  <si>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</si>
  <si>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</si>
  <si>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</si>
  <si>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</si>
  <si>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</si>
  <si>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</si>
  <si>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</si>
  <si>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</si>
  <si>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</si>
  <si>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</si>
  <si>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</si>
  <si>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</si>
  <si>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</si>
  <si>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</si>
  <si>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</si>
  <si>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</si>
  <si>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</si>
  <si>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</si>
  <si>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</si>
  <si>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</si>
  <si>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</si>
  <si>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</si>
  <si>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</si>
  <si>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</si>
  <si>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</si>
  <si>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</si>
  <si>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</si>
  <si>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</si>
  <si>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</si>
  <si>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</si>
  <si>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</si>
  <si>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</si>
  <si>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</si>
  <si>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</si>
  <si>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</si>
  <si>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</si>
  <si>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</si>
  <si>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</si>
  <si>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</si>
  <si>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</si>
  <si>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</si>
  <si>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</si>
  <si>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</si>
  <si>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</si>
  <si>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</si>
  <si>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</si>
  <si>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</si>
  <si>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</si>
  <si>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</si>
  <si>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</si>
  <si>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</si>
  <si>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</si>
  <si>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</si>
  <si>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</si>
  <si>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</si>
  <si>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</si>
  <si>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</si>
  <si>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</si>
  <si>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</si>
  <si>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</si>
  <si>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</si>
  <si>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</si>
  <si>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</si>
  <si>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</si>
  <si>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</si>
  <si>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</si>
  <si>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</si>
  <si>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</si>
  <si>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</si>
  <si>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</si>
  <si>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</si>
  <si>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</si>
  <si>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</si>
  <si>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</si>
  <si>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</si>
  <si>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</si>
  <si>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</si>
  <si>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</si>
  <si>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</si>
  <si>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</si>
  <si>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</si>
  <si>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</si>
  <si>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</si>
  <si>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</si>
  <si>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</si>
  <si>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</si>
  <si>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</si>
  <si>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</si>
  <si>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</si>
  <si>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</si>
  <si>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</si>
  <si>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</si>
  <si>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</si>
  <si>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</si>
  <si>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</si>
  <si>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</si>
  <si>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</si>
  <si>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</si>
  <si>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</si>
  <si>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</si>
  <si>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</si>
  <si>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</si>
  <si>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</si>
  <si>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</si>
  <si>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</si>
  <si>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</si>
  <si>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</si>
  <si>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</si>
  <si>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</si>
  <si>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</si>
  <si>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</si>
  <si>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</si>
  <si>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</si>
  <si>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</si>
  <si>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</si>
  <si>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</si>
  <si>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</si>
  <si>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</si>
  <si>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</si>
  <si>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</si>
  <si>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</si>
  <si>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</si>
  <si>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</si>
  <si>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</si>
  <si>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</si>
  <si>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</si>
  <si>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</si>
  <si>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</si>
  <si>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</si>
  <si>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</si>
  <si>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</si>
  <si>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</si>
  <si>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</si>
  <si>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</si>
  <si>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</si>
  <si>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</si>
  <si>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</si>
  <si>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</si>
  <si>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</si>
  <si>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</si>
  <si>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</si>
  <si>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</si>
  <si>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</si>
  <si>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</si>
  <si>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</si>
  <si>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</si>
  <si>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</si>
  <si>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</si>
  <si>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</si>
  <si>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</si>
  <si>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</si>
  <si>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</si>
  <si>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</si>
  <si>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</si>
  <si>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</si>
  <si>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</si>
  <si>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</si>
  <si>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</si>
  <si>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</si>
  <si>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</si>
  <si>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</si>
  <si>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</si>
  <si>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</si>
  <si>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</si>
  <si>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</si>
  <si>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</si>
  <si>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</si>
  <si>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</si>
  <si>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</si>
  <si>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</si>
  <si>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</si>
  <si>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</si>
  <si>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</si>
  <si>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</si>
  <si>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</si>
  <si>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</si>
  <si>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</si>
  <si>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</si>
  <si>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</si>
  <si>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</si>
  <si>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</si>
  <si>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</si>
  <si>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</si>
  <si>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</si>
  <si>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</si>
  <si>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</si>
  <si>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</si>
  <si>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</si>
  <si>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</si>
  <si>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</si>
  <si>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</si>
  <si>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</si>
  <si>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</si>
  <si>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</si>
  <si>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</si>
  <si>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</si>
  <si>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</si>
  <si>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</si>
  <si>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</si>
  <si>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</si>
  <si>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</si>
  <si>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</si>
  <si>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</si>
  <si>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</si>
  <si>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</si>
  <si>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</si>
  <si>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</si>
  <si>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</si>
  <si>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</si>
  <si>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</si>
  <si>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</si>
  <si>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</si>
  <si>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</si>
  <si>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</si>
  <si>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</si>
  <si>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</si>
  <si>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</si>
  <si>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</si>
  <si>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</si>
  <si>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</si>
  <si>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</si>
  <si>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</si>
  <si>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</si>
  <si>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</si>
  <si>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</si>
  <si>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</si>
  <si>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</si>
  <si>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</si>
  <si>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</si>
  <si>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</si>
  <si>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</si>
  <si>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</si>
  <si>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</si>
  <si>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</si>
  <si>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</si>
  <si>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</si>
  <si>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</si>
  <si>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</si>
  <si>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</si>
  <si>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</si>
  <si>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</si>
  <si>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</si>
  <si>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</si>
  <si>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</si>
  <si>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HSFI</t>
  </si>
  <si>
    <t>39751563435</t>
  </si>
  <si>
    <t>01462555</t>
  </si>
  <si>
    <t>040149132</t>
  </si>
  <si>
    <t>KD KOSTRENA</t>
  </si>
  <si>
    <t>KOSTRENA</t>
  </si>
  <si>
    <t>ŽUKNICA 1B</t>
  </si>
  <si>
    <t>info@kd-kostrena.hr</t>
  </si>
  <si>
    <t>80072926694</t>
  </si>
  <si>
    <t>SONJA HLADNIK</t>
  </si>
  <si>
    <t>HELENA PAUNOVIĆ</t>
  </si>
  <si>
    <t>h.paunovic@kd-kostrena.hr</t>
  </si>
  <si>
    <t>051/287-500</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</si>
</sst>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0&quot;kn&quot;;\-#,##0&quot;kn&quot;"/>
    <numFmt numFmtId="179" formatCode="#,##0&quot;kn&quot;;[Red]\-#,##0&quot;kn&quot;"/>
    <numFmt numFmtId="180" formatCode="#,##0.00&quot;kn&quot;;\-#,##0.00&quot;kn&quot;"/>
    <numFmt numFmtId="181" formatCode="#,##0.00&quot;kn&quot;;[Red]\-#,##0.00&quot;kn&quot;"/>
    <numFmt numFmtId="182" formatCode="_-* #,##0&quot;kn&quot;_-;\-* #,##0&quot;kn&quot;_-;_-* &quot;-&quot;&quot;kn&quot;_-;_-@_-"/>
    <numFmt numFmtId="183" formatCode="_-* #,##0_k_n_-;\-* #,##0_k_n_-;_-* &quot;-&quot;_k_n_-;_-@_-"/>
    <numFmt numFmtId="184" formatCode="_-* #,##0.00&quot;kn&quot;_-;\-* #,##0.00&quot;kn&quot;_-;_-* &quot;-&quot;??&quot;kn&quot;_-;_-@_-"/>
    <numFmt numFmtId="185" formatCode="_-* #,##0.00_k_n_-;\-* #,##0.00_k_n_-;_-* &quot;-&quot;??_k_n_-;_-@_-"/>
    <numFmt numFmtId="186" formatCode="#,##0.00&quot; kn&quot;;\-#,##0.00&quot; kn&quot;"/>
    <numFmt numFmtId="187" formatCode="0.0000000000"/>
    <numFmt numFmtId="188" formatCode="00"/>
    <numFmt numFmtId="189" formatCode="0.0"/>
    <numFmt numFmtId="190" formatCode="_ * #,##0.00_-\ _k_n_ ;_ * #,##0.00\-\ _k_n_ ;_ * &quot;-&quot;??_-\ _k_n_ ;_ @_ "/>
    <numFmt numFmtId="191" formatCode="_ * #,##0_-\ _k_n_ ;_ * #,##0\-\ _k_n_ ;_ * &quot;-&quot;_-\ _k_n_ ;_ @_ "/>
    <numFmt numFmtId="192" formatCode="_ * #,##0.00_-\ &quot;kn&quot;_ ;_ * #,##0.00\-\ &quot;kn&quot;_ ;_ * &quot;-&quot;??_-\ &quot;kn&quot;_ ;_ @_ "/>
    <numFmt numFmtId="193" formatCode="_ * #,##0_-\ &quot;kn&quot;_ ;_ * #,##0\-\ &quot;kn&quot;_ ;_ * &quot;-&quot;_-\ &quot;kn&quot;_ ;_ @_ "/>
    <numFmt numFmtId="194" formatCode="#,##0.0"/>
    <numFmt numFmtId="195" formatCode="mm/dd/yy"/>
    <numFmt numFmtId="196" formatCode="[$-41A]d\.\ mmmm\ yyyy"/>
    <numFmt numFmtId="197" formatCode="#0,"/>
    <numFmt numFmtId="198" formatCode="#,"/>
    <numFmt numFmtId="199" formatCode="[$-41A]d\.\ mmmm\ yyyy\."/>
    <numFmt numFmtId="200"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7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77"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7"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77"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77"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8" fontId="10" fillId="0" borderId="15" xfId="0" applyNumberFormat="1" applyFont="1" applyFill="1" applyBorder="1" applyAlignment="1">
      <alignment horizontal="center" vertical="center"/>
    </xf>
    <xf numFmtId="188"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1" fontId="24" fillId="33" borderId="56" xfId="0" applyNumberFormat="1" applyFont="1" applyFill="1" applyBorder="1" applyAlignment="1" applyProtection="1">
      <alignment horizontal="center" vertical="center" shrinkToFit="1"/>
      <protection locked="0"/>
    </xf>
    <xf numFmtId="1" fontId="24" fillId="33" borderId="57" xfId="0" applyNumberFormat="1" applyFont="1" applyFill="1" applyBorder="1" applyAlignment="1" applyProtection="1">
      <alignment horizontal="center" vertical="center" shrinkToFit="1"/>
      <protection locked="0"/>
    </xf>
    <xf numFmtId="0" fontId="1" fillId="0" borderId="0" xfId="0" applyFont="1" applyAlignment="1">
      <alignment horizontal="right" vertical="center"/>
    </xf>
    <xf numFmtId="0" fontId="0" fillId="0" borderId="0" xfId="0" applyAlignment="1">
      <alignment horizontal="right" vertical="center"/>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0" xfId="0" applyAlignment="1">
      <alignment vertical="center"/>
    </xf>
    <xf numFmtId="0" fontId="0" fillId="0" borderId="58" xfId="0" applyBorder="1" applyAlignment="1">
      <alignment vertical="center"/>
    </xf>
    <xf numFmtId="0" fontId="1" fillId="0" borderId="34" xfId="0"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0" fontId="41"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14" fontId="34" fillId="33" borderId="56" xfId="0" applyNumberFormat="1" applyFont="1" applyFill="1" applyBorder="1" applyAlignment="1" applyProtection="1">
      <alignment horizontal="center" vertical="center"/>
      <protection locked="0"/>
    </xf>
    <xf numFmtId="14" fontId="56" fillId="33" borderId="57"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59" xfId="0" applyFont="1" applyBorder="1" applyAlignment="1" applyProtection="1">
      <alignment horizontal="center" vertical="center"/>
      <protection hidden="1"/>
    </xf>
    <xf numFmtId="0" fontId="0" fillId="0" borderId="61" xfId="0" applyBorder="1" applyAlignment="1">
      <alignment horizontal="center" vertical="center"/>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27" fillId="37" borderId="27" xfId="0" applyFont="1" applyFill="1" applyBorder="1" applyAlignment="1">
      <alignment horizontal="center" vertical="center" wrapText="1"/>
    </xf>
    <xf numFmtId="0" fontId="1" fillId="0" borderId="79" xfId="0" applyFont="1" applyBorder="1" applyAlignment="1">
      <alignment/>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6" fillId="0" borderId="0" xfId="0" applyFont="1" applyFill="1" applyBorder="1" applyAlignment="1">
      <alignment horizontal="center" wrapText="1"/>
    </xf>
    <xf numFmtId="0" fontId="45" fillId="0" borderId="0" xfId="0" applyFont="1" applyAlignment="1">
      <alignment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2022</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595323.74</v>
      </c>
      <c r="I3" s="27">
        <f>ABS(ROUND(J3,0)-J3)+ABS(ROUND(K3,0)-K3)</f>
        <v>0</v>
      </c>
      <c r="J3" s="27">
        <f>Bilanca!I10</f>
        <v>11319761</v>
      </c>
      <c r="K3" s="27">
        <f>Bilanca!J10</f>
        <v>9223213</v>
      </c>
    </row>
    <row r="4" spans="1:11" ht="12.75">
      <c r="A4" s="4" t="s">
        <v>1555</v>
      </c>
      <c r="B4" s="25" t="s">
        <v>1464</v>
      </c>
      <c r="D4" s="4" t="s">
        <v>1230</v>
      </c>
      <c r="E4" s="4">
        <v>1</v>
      </c>
      <c r="F4" s="4">
        <f>Bilanca!G11</f>
        <v>3</v>
      </c>
      <c r="G4" s="4">
        <f>IF(Bilanca!H11=0,"",Bilanca!H11)</f>
      </c>
      <c r="H4" s="26">
        <f>J4/100*F4+2*K4/100*F4</f>
        <v>31740.87</v>
      </c>
      <c r="I4" s="27">
        <f>ABS(ROUND(J4,0)-J4)+ABS(ROUND(K4,0)-K4)</f>
        <v>0</v>
      </c>
      <c r="J4" s="27">
        <f>Bilanca!I11</f>
        <v>393431</v>
      </c>
      <c r="K4" s="27">
        <f>Bilanca!J11</f>
        <v>332299</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01462555</v>
      </c>
      <c r="D6" s="4" t="s">
        <v>1230</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434</v>
      </c>
      <c r="B7" s="25" t="str">
        <f>RefStr!M27</f>
        <v>040149132</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39751563435</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KD KOSTRENA</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51221</v>
      </c>
      <c r="D10" s="4" t="s">
        <v>1230</v>
      </c>
      <c r="E10" s="4">
        <v>1</v>
      </c>
      <c r="F10" s="4">
        <f>Bilanca!G17</f>
        <v>9</v>
      </c>
      <c r="G10" s="4">
        <f>IF(Bilanca!H17=0,"",Bilanca!H17)</f>
      </c>
      <c r="H10" s="26">
        <f t="shared" si="0"/>
        <v>95222.60999999999</v>
      </c>
      <c r="I10" s="27">
        <f t="shared" si="1"/>
        <v>0</v>
      </c>
      <c r="J10" s="27">
        <f>Bilanca!I17</f>
        <v>393431</v>
      </c>
      <c r="K10" s="27">
        <f>Bilanca!J17</f>
        <v>332299</v>
      </c>
    </row>
    <row r="11" spans="1:11" ht="12.75">
      <c r="A11" s="4" t="s">
        <v>1595</v>
      </c>
      <c r="B11" s="25" t="str">
        <f>TRIM(RefStr!F31)</f>
        <v>KOSTRENA</v>
      </c>
      <c r="D11" s="4" t="s">
        <v>1230</v>
      </c>
      <c r="E11" s="4">
        <v>1</v>
      </c>
      <c r="F11" s="4">
        <f>Bilanca!G18</f>
        <v>10</v>
      </c>
      <c r="G11" s="4">
        <f>IF(Bilanca!H18=0,"",Bilanca!H18)</f>
      </c>
      <c r="H11" s="26">
        <f t="shared" si="0"/>
        <v>2870815.8</v>
      </c>
      <c r="I11" s="27">
        <f t="shared" si="1"/>
        <v>0</v>
      </c>
      <c r="J11" s="27">
        <f>Bilanca!I18</f>
        <v>10926330</v>
      </c>
      <c r="K11" s="27">
        <f>Bilanca!J18</f>
        <v>8890914</v>
      </c>
    </row>
    <row r="12" spans="1:11" ht="12.75">
      <c r="A12" s="4" t="s">
        <v>1596</v>
      </c>
      <c r="B12" s="25" t="str">
        <f>TRIM(RefStr!C33)</f>
        <v>ŽUKNICA 1B</v>
      </c>
      <c r="D12" s="4" t="s">
        <v>1230</v>
      </c>
      <c r="E12" s="4">
        <v>1</v>
      </c>
      <c r="F12" s="4">
        <f>Bilanca!G19</f>
        <v>11</v>
      </c>
      <c r="G12" s="4">
        <f>IF(Bilanca!H19=0,"",Bilanca!H19)</f>
      </c>
      <c r="H12" s="26">
        <f t="shared" si="0"/>
        <v>0</v>
      </c>
      <c r="I12" s="27">
        <f t="shared" si="1"/>
        <v>0</v>
      </c>
      <c r="J12" s="27">
        <f>Bilanca!I19</f>
        <v>0</v>
      </c>
      <c r="K12" s="27">
        <f>Bilanca!J19</f>
        <v>0</v>
      </c>
    </row>
    <row r="13" spans="1:11" ht="12.75">
      <c r="A13" s="4" t="s">
        <v>1742</v>
      </c>
      <c r="B13" s="25" t="str">
        <f>TRIM(RefStr!C35)</f>
        <v>info@kd-kostrena.hr</v>
      </c>
      <c r="D13" s="4" t="s">
        <v>1230</v>
      </c>
      <c r="E13" s="4">
        <v>1</v>
      </c>
      <c r="F13" s="4">
        <f>Bilanca!G20</f>
        <v>12</v>
      </c>
      <c r="G13" s="4">
        <f>IF(Bilanca!H20=0,"",Bilanca!H20)</f>
      </c>
      <c r="H13" s="26">
        <f t="shared" si="0"/>
        <v>2667984.2399999998</v>
      </c>
      <c r="I13" s="27">
        <f t="shared" si="1"/>
        <v>0</v>
      </c>
      <c r="J13" s="27">
        <f>Bilanca!I20</f>
        <v>8874428</v>
      </c>
      <c r="K13" s="27">
        <f>Bilanca!J20</f>
        <v>6679387</v>
      </c>
    </row>
    <row r="14" spans="1:11" ht="12.75">
      <c r="A14" s="4" t="s">
        <v>1743</v>
      </c>
      <c r="B14" s="25">
        <f>TRIM(RefStr!C37)</f>
      </c>
      <c r="D14" s="4" t="s">
        <v>1230</v>
      </c>
      <c r="E14" s="4">
        <v>1</v>
      </c>
      <c r="F14" s="4">
        <f>Bilanca!G21</f>
        <v>13</v>
      </c>
      <c r="G14" s="4">
        <f>IF(Bilanca!H21=0,"",Bilanca!H21)</f>
      </c>
      <c r="H14" s="26">
        <f t="shared" si="0"/>
        <v>6856.33</v>
      </c>
      <c r="I14" s="27">
        <f t="shared" si="1"/>
        <v>0</v>
      </c>
      <c r="J14" s="27">
        <f>Bilanca!I21</f>
        <v>28441</v>
      </c>
      <c r="K14" s="27">
        <f>Bilanca!J21</f>
        <v>12150</v>
      </c>
    </row>
    <row r="15" spans="1:11" ht="12.75">
      <c r="A15" s="4" t="s">
        <v>1599</v>
      </c>
      <c r="B15" s="25" t="str">
        <f>TEXT(RefStr!J39,"00")</f>
        <v>08</v>
      </c>
      <c r="D15" s="4" t="s">
        <v>1230</v>
      </c>
      <c r="E15" s="4">
        <v>1</v>
      </c>
      <c r="F15" s="4">
        <f>Bilanca!G22</f>
        <v>14</v>
      </c>
      <c r="G15" s="4">
        <f>IF(Bilanca!H22=0,"",Bilanca!H22)</f>
      </c>
      <c r="H15" s="26">
        <f t="shared" si="0"/>
        <v>898830.1000000001</v>
      </c>
      <c r="I15" s="27">
        <f t="shared" si="1"/>
        <v>0</v>
      </c>
      <c r="J15" s="27">
        <f>Bilanca!I22</f>
        <v>2021461</v>
      </c>
      <c r="K15" s="27">
        <f>Bilanca!J22</f>
        <v>2199377</v>
      </c>
    </row>
    <row r="16" spans="1:11" ht="12.75">
      <c r="A16" s="4" t="s">
        <v>1598</v>
      </c>
      <c r="B16" s="25" t="str">
        <f>TEXT(RefStr!C39,"000")</f>
        <v>538</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3811</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0</v>
      </c>
      <c r="I18" s="27">
        <f t="shared" si="1"/>
        <v>0</v>
      </c>
      <c r="J18" s="27">
        <f>Bilanca!I25</f>
        <v>0</v>
      </c>
      <c r="K18" s="27">
        <f>Bilanca!J25</f>
        <v>0</v>
      </c>
    </row>
    <row r="19" spans="1:11" ht="12.75">
      <c r="A19" s="4" t="s">
        <v>1745</v>
      </c>
      <c r="B19" s="25" t="str">
        <f>IF(RefStr!I21&lt;&gt;"",RefStr!I21,"")</f>
        <v>DA</v>
      </c>
      <c r="D19" s="4" t="s">
        <v>1230</v>
      </c>
      <c r="E19" s="4">
        <v>1</v>
      </c>
      <c r="F19" s="4">
        <f>Bilanca!G26</f>
        <v>18</v>
      </c>
      <c r="G19" s="4">
        <f>IF(Bilanca!H26=0,"",Bilanca!H26)</f>
      </c>
      <c r="H19" s="26">
        <f t="shared" si="0"/>
        <v>360</v>
      </c>
      <c r="I19" s="27">
        <f t="shared" si="1"/>
        <v>0</v>
      </c>
      <c r="J19" s="27">
        <f>Bilanca!I26</f>
        <v>2000</v>
      </c>
      <c r="K19" s="27">
        <f>Bilanca!J26</f>
        <v>0</v>
      </c>
    </row>
    <row r="20" spans="1:11" ht="12.75">
      <c r="A20" s="4" t="s">
        <v>1746</v>
      </c>
      <c r="B20" s="25">
        <f>RefStr!C19</f>
        <v>3</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1</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21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39</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41</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36</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40</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3831153.16</v>
      </c>
      <c r="I38" s="27">
        <f t="shared" si="1"/>
        <v>0</v>
      </c>
      <c r="J38" s="27">
        <f>Bilanca!I45</f>
        <v>3407340</v>
      </c>
      <c r="K38" s="27">
        <f>Bilanca!J45</f>
        <v>3473564</v>
      </c>
    </row>
    <row r="39" spans="1:11" ht="12.75">
      <c r="A39" s="4" t="s">
        <v>484</v>
      </c>
      <c r="B39" s="25" t="str">
        <f>RefStr!C68</f>
        <v>HELENA PAUNOVIĆ</v>
      </c>
      <c r="D39" s="4" t="s">
        <v>1230</v>
      </c>
      <c r="E39" s="4">
        <v>1</v>
      </c>
      <c r="F39" s="4">
        <f>Bilanca!G46</f>
        <v>38</v>
      </c>
      <c r="G39" s="4">
        <f>IF(Bilanca!H46=0,"",Bilanca!H46)</f>
      </c>
      <c r="H39" s="26">
        <f t="shared" si="0"/>
        <v>0</v>
      </c>
      <c r="I39" s="27">
        <f t="shared" si="1"/>
        <v>0</v>
      </c>
      <c r="J39" s="27">
        <f>Bilanca!I46</f>
        <v>0</v>
      </c>
      <c r="K39" s="27">
        <f>Bilanca!J46</f>
        <v>0</v>
      </c>
    </row>
    <row r="40" spans="1:11" ht="12.75">
      <c r="A40" s="4" t="s">
        <v>485</v>
      </c>
      <c r="B40" s="25" t="str">
        <f>TRIM(RefStr!C70)</f>
        <v>051/287-500</v>
      </c>
      <c r="D40" s="4" t="s">
        <v>1230</v>
      </c>
      <c r="E40" s="4">
        <v>1</v>
      </c>
      <c r="F40" s="4">
        <f>Bilanca!G47</f>
        <v>39</v>
      </c>
      <c r="G40" s="4">
        <f>IF(Bilanca!H47=0,"",Bilanca!H47)</f>
      </c>
      <c r="H40" s="26">
        <f t="shared" si="0"/>
        <v>0</v>
      </c>
      <c r="I40" s="27">
        <f t="shared" si="1"/>
        <v>0</v>
      </c>
      <c r="J40" s="27">
        <f>Bilanca!I47</f>
        <v>0</v>
      </c>
      <c r="K40" s="27">
        <f>Bilanca!J47</f>
        <v>0</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h.paunovic@kd-kostrena.hr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SONJA HLADNIK</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20220101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20221231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891562.8</v>
      </c>
      <c r="I47" s="27">
        <f t="shared" si="3"/>
        <v>0</v>
      </c>
      <c r="J47" s="27">
        <f>Bilanca!I54</f>
        <v>646276</v>
      </c>
      <c r="K47" s="27">
        <f>Bilanca!J54</f>
        <v>645952</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899552.78</v>
      </c>
      <c r="I50" s="27">
        <f t="shared" si="3"/>
        <v>0</v>
      </c>
      <c r="J50" s="27">
        <f>Bilanca!I57</f>
        <v>606312</v>
      </c>
      <c r="K50" s="27">
        <f>Bilanca!J57</f>
        <v>614755</v>
      </c>
    </row>
    <row r="51" spans="1:11" ht="12.75">
      <c r="A51" s="4" t="s">
        <v>2929</v>
      </c>
      <c r="B51" s="25" t="str">
        <f>RefStr!I60</f>
        <v>NE</v>
      </c>
      <c r="D51" s="4" t="s">
        <v>1230</v>
      </c>
      <c r="E51" s="4">
        <v>1</v>
      </c>
      <c r="F51" s="4">
        <f>Bilanca!G58</f>
        <v>50</v>
      </c>
      <c r="G51" s="4">
        <f>IF(Bilanca!H58=0,"",Bilanca!H58)</f>
      </c>
      <c r="H51" s="26">
        <f t="shared" si="2"/>
        <v>1379</v>
      </c>
      <c r="I51" s="27">
        <f t="shared" si="3"/>
        <v>0</v>
      </c>
      <c r="J51" s="27">
        <f>Bilanca!I58</f>
        <v>1648</v>
      </c>
      <c r="K51" s="27">
        <f>Bilanca!J58</f>
        <v>555</v>
      </c>
    </row>
    <row r="52" spans="1:11" ht="12.75">
      <c r="A52" s="4" t="s">
        <v>487</v>
      </c>
      <c r="B52" s="25" t="s">
        <v>110</v>
      </c>
      <c r="D52" s="4" t="s">
        <v>1230</v>
      </c>
      <c r="E52" s="4">
        <v>1</v>
      </c>
      <c r="F52" s="4">
        <f>Bilanca!G59</f>
        <v>51</v>
      </c>
      <c r="G52" s="4">
        <f>IF(Bilanca!H59=0,"",Bilanca!H59)</f>
      </c>
      <c r="H52" s="26">
        <f t="shared" si="2"/>
        <v>50745</v>
      </c>
      <c r="I52" s="27">
        <f t="shared" si="3"/>
        <v>0</v>
      </c>
      <c r="J52" s="27">
        <f>Bilanca!I59</f>
        <v>38316</v>
      </c>
      <c r="K52" s="27">
        <f>Bilanca!J59</f>
        <v>30592</v>
      </c>
    </row>
    <row r="53" spans="1:11" ht="12.75">
      <c r="A53" s="4" t="s">
        <v>174</v>
      </c>
      <c r="B53" s="25" t="str">
        <f>RefStr!I56</f>
        <v>DA</v>
      </c>
      <c r="D53" s="4" t="s">
        <v>1230</v>
      </c>
      <c r="E53" s="4">
        <v>1</v>
      </c>
      <c r="F53" s="4">
        <f>Bilanca!G60</f>
        <v>52</v>
      </c>
      <c r="G53" s="4">
        <f>IF(Bilanca!H60=0,"",Bilanca!H60)</f>
      </c>
      <c r="H53" s="26">
        <f t="shared" si="2"/>
        <v>52</v>
      </c>
      <c r="I53" s="27">
        <f t="shared" si="3"/>
        <v>0</v>
      </c>
      <c r="J53" s="27">
        <f>Bilanca!I60</f>
        <v>0</v>
      </c>
      <c r="K53" s="27">
        <f>Bilanca!J60</f>
        <v>50</v>
      </c>
    </row>
    <row r="54" spans="1:11" ht="12.75">
      <c r="A54" s="4" t="s">
        <v>175</v>
      </c>
      <c r="B54" s="25" t="str">
        <f>RefStr!I62</f>
        <v>DA</v>
      </c>
      <c r="D54" s="4" t="s">
        <v>1230</v>
      </c>
      <c r="E54" s="4">
        <v>1</v>
      </c>
      <c r="F54" s="4">
        <f>Bilanca!G61</f>
        <v>53</v>
      </c>
      <c r="G54" s="4">
        <f>IF(Bilanca!H61=0,"",Bilanca!H61)</f>
      </c>
      <c r="H54" s="26">
        <f t="shared" si="2"/>
        <v>1324.47</v>
      </c>
      <c r="I54" s="27">
        <f t="shared" si="3"/>
        <v>0</v>
      </c>
      <c r="J54" s="27">
        <f>Bilanca!I61</f>
        <v>833</v>
      </c>
      <c r="K54" s="27">
        <f>Bilanca!J61</f>
        <v>833</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1841884363.7299995</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1524.3899999999999</v>
      </c>
      <c r="I62" s="27">
        <f t="shared" si="3"/>
        <v>0</v>
      </c>
      <c r="J62" s="27">
        <f>Bilanca!I69</f>
        <v>833</v>
      </c>
      <c r="K62" s="27">
        <f>Bilanca!J69</f>
        <v>833</v>
      </c>
    </row>
    <row r="63" spans="1:11" ht="12.75">
      <c r="A63" s="4" t="s">
        <v>1290</v>
      </c>
      <c r="B63" s="25" t="str">
        <f>IF(ISNUMBER(VALUE(RefStr!L21)),TEXT(INT(VALUE(RefStr!L21)),"00000000000"),"")</f>
        <v>80072926694</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5300687.07</v>
      </c>
      <c r="I64" s="27">
        <f t="shared" si="3"/>
        <v>0</v>
      </c>
      <c r="J64" s="27">
        <f>Bilanca!I71</f>
        <v>2760231</v>
      </c>
      <c r="K64" s="27">
        <f>Bilanca!J71</f>
        <v>2826779</v>
      </c>
    </row>
    <row r="65" spans="1:11" ht="12.75">
      <c r="A65" s="4" t="s">
        <v>2817</v>
      </c>
      <c r="B65" s="25" t="str">
        <f>TRIM(RefStr!N19)</f>
        <v>HSFI</v>
      </c>
      <c r="D65" s="4" t="s">
        <v>1230</v>
      </c>
      <c r="E65" s="4">
        <v>1</v>
      </c>
      <c r="F65" s="4">
        <f>Bilanca!G72</f>
        <v>64</v>
      </c>
      <c r="G65" s="4">
        <f>IF(Bilanca!H72=0,"",Bilanca!H72)</f>
      </c>
      <c r="H65" s="26">
        <f t="shared" si="2"/>
        <v>82184.95999999999</v>
      </c>
      <c r="I65" s="27">
        <f t="shared" si="3"/>
        <v>0</v>
      </c>
      <c r="J65" s="27">
        <f>Bilanca!I72</f>
        <v>42096</v>
      </c>
      <c r="K65" s="27">
        <f>Bilanca!J72</f>
        <v>43159</v>
      </c>
    </row>
    <row r="66" spans="1:11" ht="12.75">
      <c r="A66" s="4" t="s">
        <v>2818</v>
      </c>
      <c r="B66" s="25">
        <f>RefStr!C23</f>
        <v>1</v>
      </c>
      <c r="D66" s="4" t="s">
        <v>1230</v>
      </c>
      <c r="E66" s="4">
        <v>1</v>
      </c>
      <c r="F66" s="4">
        <f>Bilanca!G73</f>
        <v>65</v>
      </c>
      <c r="G66" s="4">
        <f>IF(Bilanca!H73=0,"",Bilanca!H73)</f>
      </c>
      <c r="H66" s="26">
        <f t="shared" si="2"/>
        <v>26161894.85</v>
      </c>
      <c r="I66" s="27">
        <f t="shared" si="3"/>
        <v>0</v>
      </c>
      <c r="J66" s="27">
        <f>Bilanca!I73</f>
        <v>14769197</v>
      </c>
      <c r="K66" s="27">
        <f>Bilanca!J73</f>
        <v>12739936</v>
      </c>
    </row>
    <row r="67" spans="1:11" ht="12.75">
      <c r="A67" s="4" t="s">
        <v>2819</v>
      </c>
      <c r="B67" s="25" t="str">
        <f>TRIM(RefStr!L35)</f>
        <v>051/287-500</v>
      </c>
      <c r="D67" s="4" t="s">
        <v>1230</v>
      </c>
      <c r="E67" s="4">
        <v>1</v>
      </c>
      <c r="F67" s="4">
        <f>Bilanca!G74</f>
        <v>66</v>
      </c>
      <c r="G67" s="4">
        <f>IF(Bilanca!H74=0,"",Bilanca!H74)</f>
      </c>
      <c r="H67" s="26">
        <f t="shared" si="2"/>
        <v>0</v>
      </c>
      <c r="I67" s="27">
        <f t="shared" si="3"/>
        <v>0</v>
      </c>
      <c r="J67" s="27">
        <f>Bilanca!I74</f>
        <v>0</v>
      </c>
      <c r="K67" s="27">
        <f>Bilanca!J74</f>
        <v>0</v>
      </c>
    </row>
    <row r="68" spans="1:11" ht="12.75">
      <c r="A68" s="4" t="s">
        <v>2820</v>
      </c>
      <c r="B68" s="25">
        <f>RefStr!C44</f>
        <v>1</v>
      </c>
      <c r="D68" s="4" t="s">
        <v>1230</v>
      </c>
      <c r="E68" s="4">
        <v>1</v>
      </c>
      <c r="F68" s="4">
        <f>Bilanca!G76</f>
        <v>67</v>
      </c>
      <c r="G68" s="4">
        <f>IF(Bilanca!H76=0,"",Bilanca!H76)</f>
      </c>
      <c r="H68" s="26">
        <f t="shared" si="2"/>
        <v>8408266.84</v>
      </c>
      <c r="I68" s="27">
        <f t="shared" si="3"/>
        <v>0</v>
      </c>
      <c r="J68" s="27">
        <f>Bilanca!I76</f>
        <v>4112768</v>
      </c>
      <c r="K68" s="27">
        <f>Bilanca!J76</f>
        <v>4218442</v>
      </c>
    </row>
    <row r="69" spans="1:11" ht="12.75">
      <c r="A69" s="4" t="s">
        <v>2821</v>
      </c>
      <c r="B69" s="25">
        <f>TRIM(RefStr!M46)</f>
      </c>
      <c r="D69" s="4" t="s">
        <v>1230</v>
      </c>
      <c r="E69" s="4">
        <v>1</v>
      </c>
      <c r="F69" s="4">
        <f>Bilanca!G77</f>
        <v>68</v>
      </c>
      <c r="G69" s="4">
        <f>IF(Bilanca!H77=0,"",Bilanca!H77)</f>
      </c>
      <c r="H69" s="26">
        <f t="shared" si="2"/>
        <v>5837664</v>
      </c>
      <c r="I69" s="27">
        <f t="shared" si="3"/>
        <v>0</v>
      </c>
      <c r="J69" s="27">
        <f>Bilanca!I77</f>
        <v>2861600</v>
      </c>
      <c r="K69" s="27">
        <f>Bilanca!J77</f>
        <v>2861600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3057646.96</v>
      </c>
      <c r="I84" s="27">
        <f t="shared" si="3"/>
        <v>0</v>
      </c>
      <c r="J84" s="27">
        <f>Bilanca!I92</f>
        <v>1181578</v>
      </c>
      <c r="K84" s="27">
        <f>Bilanca!J92</f>
        <v>1251167</v>
      </c>
    </row>
    <row r="85" spans="4:11" ht="12.75">
      <c r="D85" s="4" t="s">
        <v>1230</v>
      </c>
      <c r="E85" s="4">
        <v>1</v>
      </c>
      <c r="F85" s="4">
        <f>Bilanca!G93</f>
        <v>84</v>
      </c>
      <c r="G85" s="4">
        <f>IF(Bilanca!H93=0,"",Bilanca!H93)</f>
      </c>
      <c r="H85" s="26">
        <f t="shared" si="2"/>
        <v>3094486.08</v>
      </c>
      <c r="I85" s="27">
        <f t="shared" si="3"/>
        <v>0</v>
      </c>
      <c r="J85" s="27">
        <f>Bilanca!I93</f>
        <v>1181578</v>
      </c>
      <c r="K85" s="27">
        <f>Bilanca!J93</f>
        <v>1251167</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f>IF(Bilanca!H95=0,"",Bilanca!H95)</f>
      </c>
      <c r="H87" s="26">
        <f>J87/100*F87+2*K87/100*F87</f>
        <v>241608.4</v>
      </c>
      <c r="I87" s="27">
        <f>ABS(ROUND(J87,0)-J87)+ABS(ROUND(K87,0)-K87)</f>
        <v>0</v>
      </c>
      <c r="J87" s="27">
        <f>Bilanca!I95</f>
        <v>69590</v>
      </c>
      <c r="K87" s="27">
        <f>Bilanca!J95</f>
        <v>105675</v>
      </c>
    </row>
    <row r="88" spans="4:11" ht="12.75">
      <c r="D88" s="4" t="s">
        <v>1230</v>
      </c>
      <c r="E88" s="4">
        <v>1</v>
      </c>
      <c r="F88" s="4">
        <f>Bilanca!G96</f>
        <v>87</v>
      </c>
      <c r="G88" s="4">
        <f>IF(Bilanca!H96=0,"",Bilanca!H96)</f>
      </c>
      <c r="H88" s="26">
        <f>J88/100*F88+2*K88/100*F88</f>
        <v>244417.8</v>
      </c>
      <c r="I88" s="27">
        <f>ABS(ROUND(J88,0)-J88)+ABS(ROUND(K88,0)-K88)</f>
        <v>0</v>
      </c>
      <c r="J88" s="27">
        <f>Bilanca!I96</f>
        <v>69590</v>
      </c>
      <c r="K88" s="27">
        <f>Bilanca!J96</f>
        <v>105675</v>
      </c>
    </row>
    <row r="89" spans="4:11" ht="12.75">
      <c r="D89" s="4" t="s">
        <v>1230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1823099.48</v>
      </c>
      <c r="I98" s="27">
        <f t="shared" si="5"/>
        <v>0</v>
      </c>
      <c r="J98" s="27">
        <f>Bilanca!I106</f>
        <v>754998</v>
      </c>
      <c r="K98" s="27">
        <f>Bilanca!J106</f>
        <v>562243</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1935868.52</v>
      </c>
      <c r="I104" s="27">
        <f t="shared" si="5"/>
        <v>0</v>
      </c>
      <c r="J104" s="27">
        <f>Bilanca!I112</f>
        <v>754998</v>
      </c>
      <c r="K104" s="27">
        <f>Bilanca!J112</f>
        <v>562243</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2985967.8</v>
      </c>
      <c r="I110" s="27">
        <f t="shared" si="5"/>
        <v>0</v>
      </c>
      <c r="J110" s="27">
        <f>Bilanca!I118</f>
        <v>934000</v>
      </c>
      <c r="K110" s="27">
        <f>Bilanca!J118</f>
        <v>902710</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297691.62</v>
      </c>
      <c r="I115" s="27">
        <f t="shared" si="5"/>
        <v>0</v>
      </c>
      <c r="J115" s="27">
        <f>Bilanca!I123</f>
        <v>74661</v>
      </c>
      <c r="K115" s="27">
        <f>Bilanca!J123</f>
        <v>93236</v>
      </c>
    </row>
    <row r="116" spans="4:11" ht="12.75">
      <c r="D116" s="4" t="s">
        <v>1230</v>
      </c>
      <c r="E116" s="4">
        <v>1</v>
      </c>
      <c r="F116" s="4">
        <f>Bilanca!G124</f>
        <v>115</v>
      </c>
      <c r="G116" s="4">
        <f>IF(Bilanca!H124=0,"",Bilanca!H124)</f>
      </c>
      <c r="H116" s="26">
        <f t="shared" si="4"/>
        <v>660730.2</v>
      </c>
      <c r="I116" s="27">
        <f t="shared" si="5"/>
        <v>0</v>
      </c>
      <c r="J116" s="27">
        <f>Bilanca!I124</f>
        <v>189036</v>
      </c>
      <c r="K116" s="27">
        <f>Bilanca!J124</f>
        <v>192756</v>
      </c>
    </row>
    <row r="117" spans="4:11" ht="12.75">
      <c r="D117" s="4" t="s">
        <v>1230</v>
      </c>
      <c r="E117" s="4">
        <v>1</v>
      </c>
      <c r="F117" s="4">
        <f>Bilanca!G125</f>
        <v>116</v>
      </c>
      <c r="G117" s="4">
        <f>IF(Bilanca!H125=0,"",Bilanca!H125)</f>
      </c>
      <c r="H117" s="26">
        <f t="shared" si="4"/>
        <v>7572.4800000000005</v>
      </c>
      <c r="I117" s="27">
        <f t="shared" si="5"/>
        <v>0</v>
      </c>
      <c r="J117" s="27">
        <f>Bilanca!I125</f>
        <v>0</v>
      </c>
      <c r="K117" s="27">
        <f>Bilanca!J125</f>
        <v>3264</v>
      </c>
    </row>
    <row r="118" spans="4:11" ht="12.75">
      <c r="D118" s="4" t="s">
        <v>1230</v>
      </c>
      <c r="E118" s="4">
        <v>1</v>
      </c>
      <c r="F118" s="4">
        <f>Bilanca!G126</f>
        <v>117</v>
      </c>
      <c r="G118" s="4">
        <f>IF(Bilanca!H126=0,"",Bilanca!H126)</f>
      </c>
      <c r="H118" s="26">
        <f t="shared" si="4"/>
        <v>682638.84</v>
      </c>
      <c r="I118" s="27">
        <f t="shared" si="5"/>
        <v>0</v>
      </c>
      <c r="J118" s="27">
        <f>Bilanca!I126</f>
        <v>235078</v>
      </c>
      <c r="K118" s="27">
        <f>Bilanca!J126</f>
        <v>174187</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850464.44</v>
      </c>
      <c r="I120" s="27">
        <f t="shared" si="5"/>
        <v>0</v>
      </c>
      <c r="J120" s="27">
        <f>Bilanca!I128</f>
        <v>229726</v>
      </c>
      <c r="K120" s="27">
        <f>Bilanca!J128</f>
        <v>242475</v>
      </c>
    </row>
    <row r="121" spans="4:11" ht="12.75">
      <c r="D121" s="4" t="s">
        <v>1230</v>
      </c>
      <c r="E121" s="4">
        <v>1</v>
      </c>
      <c r="F121" s="4">
        <f>Bilanca!G129</f>
        <v>120</v>
      </c>
      <c r="G121" s="4">
        <f>IF(Bilanca!H129=0,"",Bilanca!H129)</f>
      </c>
      <c r="H121" s="26">
        <f t="shared" si="4"/>
        <v>718899.6000000001</v>
      </c>
      <c r="I121" s="27">
        <f t="shared" si="5"/>
        <v>0</v>
      </c>
      <c r="J121" s="27">
        <f>Bilanca!I129</f>
        <v>205499</v>
      </c>
      <c r="K121" s="27">
        <f>Bilanca!J129</f>
        <v>196792</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0</v>
      </c>
      <c r="I124" s="27">
        <f t="shared" si="5"/>
        <v>0</v>
      </c>
      <c r="J124" s="27">
        <f>Bilanca!I132</f>
        <v>0</v>
      </c>
      <c r="K124" s="27">
        <f>Bilanca!J132</f>
        <v>0</v>
      </c>
    </row>
    <row r="125" spans="4:11" ht="12.75">
      <c r="D125" s="4" t="s">
        <v>1230</v>
      </c>
      <c r="E125" s="4">
        <v>1</v>
      </c>
      <c r="F125" s="4">
        <f>Bilanca!G133</f>
        <v>124</v>
      </c>
      <c r="G125" s="4">
        <f>IF(Bilanca!H133=0,"",Bilanca!H133)</f>
      </c>
      <c r="H125" s="26">
        <f t="shared" si="4"/>
        <v>28619836.119999997</v>
      </c>
      <c r="I125" s="27">
        <f t="shared" si="5"/>
        <v>0</v>
      </c>
      <c r="J125" s="27">
        <f>Bilanca!I133</f>
        <v>8967431</v>
      </c>
      <c r="K125" s="27">
        <f>Bilanca!J133</f>
        <v>7056541</v>
      </c>
    </row>
    <row r="126" spans="4:11" ht="12.75">
      <c r="D126" s="4" t="s">
        <v>1230</v>
      </c>
      <c r="E126" s="4">
        <v>1</v>
      </c>
      <c r="F126" s="4">
        <f>Bilanca!G134</f>
        <v>125</v>
      </c>
      <c r="G126" s="4">
        <f>IF(Bilanca!H134=0,"",Bilanca!H134)</f>
      </c>
      <c r="H126" s="26">
        <f t="shared" si="4"/>
        <v>50311336.25</v>
      </c>
      <c r="I126" s="27">
        <f t="shared" si="5"/>
        <v>0</v>
      </c>
      <c r="J126" s="27">
        <f>Bilanca!I134</f>
        <v>14769197</v>
      </c>
      <c r="K126" s="27">
        <f>Bilanca!J134</f>
        <v>12739936</v>
      </c>
    </row>
    <row r="127" spans="4:11" ht="12.75">
      <c r="D127" s="4" t="s">
        <v>1230</v>
      </c>
      <c r="E127" s="4">
        <v>1</v>
      </c>
      <c r="F127" s="4">
        <f>Bilanca!G135</f>
        <v>126</v>
      </c>
      <c r="G127" s="4">
        <f>IF(Bilanca!H135=0,"",Bilanca!H135)</f>
      </c>
      <c r="H127" s="26">
        <f t="shared" si="4"/>
        <v>0</v>
      </c>
      <c r="I127" s="27">
        <f t="shared" si="5"/>
        <v>0</v>
      </c>
      <c r="J127" s="27">
        <f>Bilanca!I135</f>
        <v>0</v>
      </c>
      <c r="K127" s="27">
        <f>Bilanca!J135</f>
        <v>0</v>
      </c>
    </row>
    <row r="128" spans="4:11" ht="12.75">
      <c r="D128" s="4" t="s">
        <v>2688</v>
      </c>
      <c r="E128" s="4">
        <v>2</v>
      </c>
      <c r="F128" s="4">
        <f>RDG!G8</f>
        <v>127</v>
      </c>
      <c r="G128" s="4">
        <f>IF(RDG!H8=0,"",RDG!H8)</f>
      </c>
      <c r="H128" s="26">
        <f t="shared" si="4"/>
        <v>40229892.870000005</v>
      </c>
      <c r="I128" s="4">
        <f t="shared" si="5"/>
        <v>0</v>
      </c>
      <c r="J128" s="27">
        <f>RDG!I8</f>
        <v>9786391</v>
      </c>
      <c r="K128" s="27">
        <f>RDG!J8</f>
        <v>10945345</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30891908.64</v>
      </c>
      <c r="I130" s="4">
        <f aca="true" t="shared" si="7" ref="I130:I192">ABS(ROUND(J130,0)-J130)+ABS(ROUND(K130,0)-K130)</f>
        <v>0</v>
      </c>
      <c r="J130" s="27">
        <f>RDG!I10</f>
        <v>7295798</v>
      </c>
      <c r="K130" s="27">
        <f>RDG!J10</f>
        <v>8325709</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10203421.8</v>
      </c>
      <c r="I133" s="4">
        <f t="shared" si="7"/>
        <v>0</v>
      </c>
      <c r="J133" s="27">
        <f>RDG!I13</f>
        <v>2490593</v>
      </c>
      <c r="K133" s="27">
        <f>RDG!J13</f>
        <v>2619636</v>
      </c>
    </row>
    <row r="134" spans="4:11" ht="12.75">
      <c r="D134" s="4" t="s">
        <v>2688</v>
      </c>
      <c r="E134" s="4">
        <v>2</v>
      </c>
      <c r="F134" s="4">
        <f>RDG!G14</f>
        <v>133</v>
      </c>
      <c r="G134" s="4">
        <f>IF(RDG!H14=0,"",RDG!H14)</f>
      </c>
      <c r="H134" s="26">
        <f t="shared" si="6"/>
        <v>41593954.5</v>
      </c>
      <c r="I134" s="4">
        <f t="shared" si="7"/>
        <v>0</v>
      </c>
      <c r="J134" s="27">
        <f>RDG!I14</f>
        <v>9688914</v>
      </c>
      <c r="K134" s="27">
        <f>RDG!J14</f>
        <v>10792368</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10105838.100000001</v>
      </c>
      <c r="I136" s="4">
        <f t="shared" si="7"/>
        <v>0</v>
      </c>
      <c r="J136" s="27">
        <f>RDG!I16</f>
        <v>2307424</v>
      </c>
      <c r="K136" s="27">
        <f>RDG!J16</f>
        <v>2589191</v>
      </c>
    </row>
    <row r="137" spans="4:11" ht="12.75">
      <c r="D137" s="4" t="s">
        <v>2688</v>
      </c>
      <c r="E137" s="4">
        <v>2</v>
      </c>
      <c r="F137" s="4">
        <f>RDG!G17</f>
        <v>136</v>
      </c>
      <c r="G137" s="4">
        <f>IF(RDG!H17=0,"",RDG!H17)</f>
      </c>
      <c r="H137" s="26">
        <f t="shared" si="6"/>
        <v>3829430.8800000004</v>
      </c>
      <c r="I137" s="4">
        <f t="shared" si="7"/>
        <v>0</v>
      </c>
      <c r="J137" s="27">
        <f>RDG!I17</f>
        <v>786468</v>
      </c>
      <c r="K137" s="27">
        <f>RDG!J17</f>
        <v>1014645</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6444666.24</v>
      </c>
      <c r="I139" s="4">
        <f t="shared" si="7"/>
        <v>0</v>
      </c>
      <c r="J139" s="27">
        <f>RDG!I19</f>
        <v>1520956</v>
      </c>
      <c r="K139" s="27">
        <f>RDG!J19</f>
        <v>1574546</v>
      </c>
    </row>
    <row r="140" spans="4:11" ht="12.75">
      <c r="D140" s="4" t="s">
        <v>2688</v>
      </c>
      <c r="E140" s="4">
        <v>2</v>
      </c>
      <c r="F140" s="4">
        <f>RDG!G20</f>
        <v>139</v>
      </c>
      <c r="G140" s="4">
        <f>IF(RDG!H20=0,"",RDG!H20)</f>
      </c>
      <c r="H140" s="26">
        <f t="shared" si="6"/>
        <v>17165628.47</v>
      </c>
      <c r="I140" s="4">
        <f t="shared" si="7"/>
        <v>0</v>
      </c>
      <c r="J140" s="27">
        <f>RDG!I20</f>
        <v>3832821</v>
      </c>
      <c r="K140" s="27">
        <f>RDG!J20</f>
        <v>4258276</v>
      </c>
    </row>
    <row r="141" spans="4:11" ht="12.75">
      <c r="D141" s="4" t="s">
        <v>2688</v>
      </c>
      <c r="E141" s="4">
        <v>2</v>
      </c>
      <c r="F141" s="4">
        <f>RDG!G21</f>
        <v>140</v>
      </c>
      <c r="G141" s="4">
        <f>IF(RDG!H21=0,"",RDG!H21)</f>
      </c>
      <c r="H141" s="26">
        <f t="shared" si="6"/>
        <v>11072475.4</v>
      </c>
      <c r="I141" s="4">
        <f t="shared" si="7"/>
        <v>0</v>
      </c>
      <c r="J141" s="27">
        <f>RDG!I21</f>
        <v>2466477</v>
      </c>
      <c r="K141" s="27">
        <f>RDG!J21</f>
        <v>2721217</v>
      </c>
    </row>
    <row r="142" spans="4:11" ht="12.75">
      <c r="D142" s="4" t="s">
        <v>2688</v>
      </c>
      <c r="E142" s="4">
        <v>2</v>
      </c>
      <c r="F142" s="4">
        <f>RDG!G22</f>
        <v>141</v>
      </c>
      <c r="G142" s="4">
        <f>IF(RDG!H22=0,"",RDG!H22)</f>
      </c>
      <c r="H142" s="26">
        <f t="shared" si="6"/>
        <v>3794888.0999999996</v>
      </c>
      <c r="I142" s="4">
        <f t="shared" si="7"/>
        <v>0</v>
      </c>
      <c r="J142" s="27">
        <f>RDG!I22</f>
        <v>823498</v>
      </c>
      <c r="K142" s="27">
        <f>RDG!J22</f>
        <v>933956</v>
      </c>
    </row>
    <row r="143" spans="4:11" ht="12.75">
      <c r="D143" s="4" t="s">
        <v>2688</v>
      </c>
      <c r="E143" s="4">
        <v>2</v>
      </c>
      <c r="F143" s="4">
        <f>RDG!G23</f>
        <v>142</v>
      </c>
      <c r="G143" s="4">
        <f>IF(RDG!H23=0,"",RDG!H23)</f>
      </c>
      <c r="H143" s="26">
        <f t="shared" si="6"/>
        <v>2483653.84</v>
      </c>
      <c r="I143" s="4">
        <f t="shared" si="7"/>
        <v>0</v>
      </c>
      <c r="J143" s="27">
        <f>RDG!I23</f>
        <v>542846</v>
      </c>
      <c r="K143" s="27">
        <f>RDG!J23</f>
        <v>603103</v>
      </c>
    </row>
    <row r="144" spans="4:11" ht="12.75">
      <c r="D144" s="4" t="s">
        <v>2688</v>
      </c>
      <c r="E144" s="4">
        <v>2</v>
      </c>
      <c r="F144" s="4">
        <f>RDG!G24</f>
        <v>143</v>
      </c>
      <c r="G144" s="4">
        <f>IF(RDG!H24=0,"",RDG!H24)</f>
      </c>
      <c r="H144" s="26">
        <f t="shared" si="6"/>
        <v>12106072.55</v>
      </c>
      <c r="I144" s="4">
        <f t="shared" si="7"/>
        <v>0</v>
      </c>
      <c r="J144" s="27">
        <f>RDG!I24</f>
        <v>2862199</v>
      </c>
      <c r="K144" s="27">
        <f>RDG!J24</f>
        <v>2801793</v>
      </c>
    </row>
    <row r="145" spans="4:11" ht="12.75">
      <c r="D145" s="4" t="s">
        <v>2688</v>
      </c>
      <c r="E145" s="4">
        <v>2</v>
      </c>
      <c r="F145" s="4">
        <f>RDG!G25</f>
        <v>144</v>
      </c>
      <c r="G145" s="4">
        <f>IF(RDG!H25=0,"",RDG!H25)</f>
      </c>
      <c r="H145" s="26">
        <f t="shared" si="6"/>
        <v>3494494.08</v>
      </c>
      <c r="I145" s="4">
        <f t="shared" si="7"/>
        <v>0</v>
      </c>
      <c r="J145" s="27">
        <f>RDG!I25</f>
        <v>648104</v>
      </c>
      <c r="K145" s="27">
        <f>RDG!J25</f>
        <v>889314</v>
      </c>
    </row>
    <row r="146" spans="4:11" ht="12.75">
      <c r="D146" s="4" t="s">
        <v>2688</v>
      </c>
      <c r="E146" s="4">
        <v>2</v>
      </c>
      <c r="F146" s="4">
        <f>RDG!G26</f>
        <v>145</v>
      </c>
      <c r="G146" s="4">
        <f>IF(RDG!H26=0,"",RDG!H26)</f>
      </c>
      <c r="H146" s="26">
        <f t="shared" si="6"/>
        <v>0</v>
      </c>
      <c r="I146" s="4">
        <f t="shared" si="7"/>
        <v>0</v>
      </c>
      <c r="J146" s="27">
        <f>RDG!I26</f>
        <v>0</v>
      </c>
      <c r="K146" s="27">
        <f>RDG!J26</f>
        <v>0</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0</v>
      </c>
      <c r="I148" s="4">
        <f t="shared" si="7"/>
        <v>0</v>
      </c>
      <c r="J148" s="27">
        <f>RDG!I28</f>
        <v>0</v>
      </c>
      <c r="K148" s="27">
        <f>RDG!J28</f>
        <v>0</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846228.7000000001</v>
      </c>
      <c r="I156" s="4">
        <f t="shared" si="7"/>
        <v>0</v>
      </c>
      <c r="J156" s="27">
        <f>RDG!I36</f>
        <v>38366</v>
      </c>
      <c r="K156" s="27">
        <f>RDG!J36</f>
        <v>253794</v>
      </c>
    </row>
    <row r="157" spans="4:11" ht="12.75">
      <c r="D157" s="4" t="s">
        <v>2688</v>
      </c>
      <c r="E157" s="4">
        <v>2</v>
      </c>
      <c r="F157" s="4">
        <f>RDG!G37</f>
        <v>156</v>
      </c>
      <c r="G157" s="4">
        <f>IF(RDG!H37=0,"",RDG!H37)</f>
      </c>
      <c r="H157" s="26">
        <f t="shared" si="6"/>
        <v>4074.7200000000003</v>
      </c>
      <c r="I157" s="4">
        <f t="shared" si="7"/>
        <v>0</v>
      </c>
      <c r="J157" s="27">
        <f>RDG!I37</f>
        <v>1256</v>
      </c>
      <c r="K157" s="27">
        <f>RDG!J37</f>
        <v>678</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159.74</v>
      </c>
      <c r="I164" s="4">
        <f t="shared" si="7"/>
        <v>0</v>
      </c>
      <c r="J164" s="27">
        <f>RDG!I44</f>
        <v>26</v>
      </c>
      <c r="K164" s="27">
        <f>RDG!J44</f>
        <v>36</v>
      </c>
    </row>
    <row r="165" spans="4:11" ht="12.75">
      <c r="D165" s="4" t="s">
        <v>2688</v>
      </c>
      <c r="E165" s="4">
        <v>2</v>
      </c>
      <c r="F165" s="4">
        <f>RDG!G45</f>
        <v>164</v>
      </c>
      <c r="G165" s="4">
        <f>IF(RDG!H45=0,"",RDG!H45)</f>
      </c>
      <c r="H165" s="26">
        <f t="shared" si="6"/>
        <v>4122.96</v>
      </c>
      <c r="I165" s="4">
        <f t="shared" si="7"/>
        <v>0</v>
      </c>
      <c r="J165" s="27">
        <f>RDG!I45</f>
        <v>1230</v>
      </c>
      <c r="K165" s="27">
        <f>RDG!J45</f>
        <v>642</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71860.1</v>
      </c>
      <c r="I168" s="4">
        <f t="shared" si="7"/>
        <v>0</v>
      </c>
      <c r="J168" s="27">
        <f>RDG!I48</f>
        <v>5948</v>
      </c>
      <c r="K168" s="27">
        <f>RDG!J48</f>
        <v>18541</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65028.40000000001</v>
      </c>
      <c r="I171" s="4">
        <f t="shared" si="7"/>
        <v>0</v>
      </c>
      <c r="J171" s="27">
        <f>RDG!I51</f>
        <v>4792</v>
      </c>
      <c r="K171" s="27">
        <f>RDG!J51</f>
        <v>16730</v>
      </c>
    </row>
    <row r="172" spans="4:11" ht="12.75">
      <c r="D172" s="4" t="s">
        <v>2688</v>
      </c>
      <c r="E172" s="4">
        <v>2</v>
      </c>
      <c r="F172" s="4">
        <f>RDG!G52</f>
        <v>171</v>
      </c>
      <c r="G172" s="4">
        <f>IF(RDG!H52=0,"",RDG!H52)</f>
      </c>
      <c r="H172" s="26">
        <f t="shared" si="6"/>
        <v>1689.48</v>
      </c>
      <c r="I172" s="4">
        <f t="shared" si="7"/>
        <v>0</v>
      </c>
      <c r="J172" s="27">
        <f>RDG!I52</f>
        <v>366</v>
      </c>
      <c r="K172" s="27">
        <f>RDG!J52</f>
        <v>311</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6594.6</v>
      </c>
      <c r="I175" s="4">
        <f t="shared" si="7"/>
        <v>0</v>
      </c>
      <c r="J175" s="27">
        <f>RDG!I55</f>
        <v>790</v>
      </c>
      <c r="K175" s="27">
        <f>RDG!J55</f>
        <v>1500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56706650.47</v>
      </c>
      <c r="I180" s="4">
        <f t="shared" si="7"/>
        <v>0</v>
      </c>
      <c r="J180" s="27">
        <f>RDG!I60</f>
        <v>9787647</v>
      </c>
      <c r="K180" s="27">
        <f>RDG!J60</f>
        <v>10946023</v>
      </c>
    </row>
    <row r="181" spans="4:11" ht="12.75">
      <c r="D181" s="4" t="s">
        <v>2688</v>
      </c>
      <c r="E181" s="4">
        <v>2</v>
      </c>
      <c r="F181" s="4">
        <f>RDG!G61</f>
        <v>180</v>
      </c>
      <c r="G181" s="4">
        <f>IF(RDG!H61=0,"",RDG!H61)</f>
      </c>
      <c r="H181" s="26">
        <f t="shared" si="6"/>
        <v>56370024</v>
      </c>
      <c r="I181" s="4">
        <f t="shared" si="7"/>
        <v>0</v>
      </c>
      <c r="J181" s="27">
        <f>RDG!I61</f>
        <v>9694862</v>
      </c>
      <c r="K181" s="27">
        <f>RDG!J61</f>
        <v>10810909</v>
      </c>
    </row>
    <row r="182" spans="4:11" ht="12.75">
      <c r="D182" s="4" t="s">
        <v>2688</v>
      </c>
      <c r="E182" s="4">
        <v>2</v>
      </c>
      <c r="F182" s="4">
        <f>RDG!G62</f>
        <v>181</v>
      </c>
      <c r="G182" s="4">
        <f>IF(RDG!H62=0,"",RDG!H62)</f>
      </c>
      <c r="H182" s="26">
        <f t="shared" si="6"/>
        <v>657053.53</v>
      </c>
      <c r="I182" s="4">
        <f t="shared" si="7"/>
        <v>0</v>
      </c>
      <c r="J182" s="27">
        <f>RDG!I62</f>
        <v>92785</v>
      </c>
      <c r="K182" s="27">
        <f>RDG!J62</f>
        <v>135114</v>
      </c>
    </row>
    <row r="183" spans="4:11" ht="12.75">
      <c r="D183" s="4" t="s">
        <v>2688</v>
      </c>
      <c r="E183" s="4">
        <v>2</v>
      </c>
      <c r="F183" s="4">
        <f>RDG!G63</f>
        <v>182</v>
      </c>
      <c r="G183" s="4">
        <f>IF(RDG!H63=0,"",RDG!H63)</f>
      </c>
      <c r="H183" s="26">
        <f t="shared" si="6"/>
        <v>660683.66</v>
      </c>
      <c r="I183" s="4">
        <f t="shared" si="7"/>
        <v>0</v>
      </c>
      <c r="J183" s="27">
        <f>RDG!I63</f>
        <v>92785</v>
      </c>
      <c r="K183" s="27">
        <f>RDG!J63</f>
        <v>135114</v>
      </c>
    </row>
    <row r="184" spans="4:11" ht="12.75">
      <c r="D184" s="4" t="s">
        <v>2688</v>
      </c>
      <c r="E184" s="4">
        <v>2</v>
      </c>
      <c r="F184" s="4">
        <f>RDG!G64</f>
        <v>183</v>
      </c>
      <c r="G184" s="4">
        <f>IF(RDG!H64=0,"",RDG!H64)</f>
      </c>
      <c r="H184" s="26">
        <f t="shared" si="6"/>
        <v>0</v>
      </c>
      <c r="I184" s="4">
        <f t="shared" si="7"/>
        <v>0</v>
      </c>
      <c r="J184" s="27">
        <f>RDG!I64</f>
        <v>0</v>
      </c>
      <c r="K184" s="27">
        <f>RDG!J64</f>
        <v>0</v>
      </c>
    </row>
    <row r="185" spans="4:11" ht="12.75">
      <c r="D185" s="4" t="s">
        <v>2688</v>
      </c>
      <c r="E185" s="4">
        <v>2</v>
      </c>
      <c r="F185" s="4">
        <f>RDG!G65</f>
        <v>184</v>
      </c>
      <c r="G185" s="4">
        <f>IF(RDG!H65=0,"",RDG!H65)</f>
      </c>
      <c r="H185" s="26">
        <f t="shared" si="6"/>
        <v>151014.31999999998</v>
      </c>
      <c r="I185" s="4">
        <f t="shared" si="7"/>
        <v>0</v>
      </c>
      <c r="J185" s="27">
        <f>RDG!I65</f>
        <v>23195</v>
      </c>
      <c r="K185" s="27">
        <f>RDG!J65</f>
        <v>29439</v>
      </c>
    </row>
    <row r="186" spans="4:11" ht="12.75">
      <c r="D186" s="4" t="s">
        <v>2688</v>
      </c>
      <c r="E186" s="4">
        <v>2</v>
      </c>
      <c r="F186" s="4">
        <f>RDG!G66</f>
        <v>185</v>
      </c>
      <c r="G186" s="4">
        <f>IF(RDG!H66=0,"",RDG!H66)</f>
      </c>
      <c r="H186" s="26">
        <f t="shared" si="6"/>
        <v>519739</v>
      </c>
      <c r="I186" s="4">
        <f t="shared" si="7"/>
        <v>0</v>
      </c>
      <c r="J186" s="27">
        <f>RDG!I66</f>
        <v>69590</v>
      </c>
      <c r="K186" s="27">
        <f>RDG!J66</f>
        <v>105675</v>
      </c>
    </row>
    <row r="187" spans="4:11" ht="12.75">
      <c r="D187" s="4" t="s">
        <v>2688</v>
      </c>
      <c r="E187" s="4">
        <v>2</v>
      </c>
      <c r="F187" s="4">
        <f>RDG!G67</f>
        <v>186</v>
      </c>
      <c r="G187" s="4">
        <f>IF(RDG!H67=0,"",RDG!H67)</f>
      </c>
      <c r="H187" s="26">
        <f t="shared" si="6"/>
        <v>522548.4</v>
      </c>
      <c r="I187" s="4">
        <f t="shared" si="7"/>
        <v>0</v>
      </c>
      <c r="J187" s="27">
        <f>RDG!I67</f>
        <v>69590</v>
      </c>
      <c r="K187" s="27">
        <f>RDG!J67</f>
        <v>105675</v>
      </c>
    </row>
    <row r="188" spans="4:11" ht="12.75">
      <c r="D188" s="4" t="s">
        <v>2688</v>
      </c>
      <c r="E188" s="4">
        <v>2</v>
      </c>
      <c r="F188" s="4">
        <f>RDG!G68</f>
        <v>187</v>
      </c>
      <c r="G188" s="4">
        <f>IF(RDG!H68=0,"",RDG!H68)</f>
      </c>
      <c r="H188" s="26">
        <f t="shared" si="6"/>
        <v>0</v>
      </c>
      <c r="I188" s="4">
        <f t="shared" si="7"/>
        <v>0</v>
      </c>
      <c r="J188" s="27">
        <f>RDG!I68</f>
        <v>0</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5722.71</v>
      </c>
      <c r="I230" s="4">
        <f>ABS(ROUND(J230,0)-J230)+ABS(ROUND(K230,0)-K230)</f>
        <v>0</v>
      </c>
      <c r="J230" s="27">
        <f>Dodatni!I10</f>
        <v>833</v>
      </c>
      <c r="K230" s="27">
        <f>Dodatni!J10</f>
        <v>833</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55431866.599999994</v>
      </c>
      <c r="I243" s="4">
        <f t="shared" si="13"/>
        <v>0</v>
      </c>
      <c r="J243" s="27">
        <f>Dodatni!I26</f>
        <v>6254312</v>
      </c>
      <c r="K243" s="27">
        <f>Dodatni!J26</f>
        <v>8325709</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10190921.280000001</v>
      </c>
      <c r="I252" s="4">
        <f t="shared" si="13"/>
        <v>0</v>
      </c>
      <c r="J252" s="27">
        <f>Dodatni!I35</f>
        <v>1041486</v>
      </c>
      <c r="K252" s="27">
        <f>Dodatni!J35</f>
        <v>1509321</v>
      </c>
    </row>
    <row r="253" spans="4:11" ht="12.75">
      <c r="D253" s="4" t="s">
        <v>1231</v>
      </c>
      <c r="E253" s="4">
        <v>3</v>
      </c>
      <c r="F253" s="4">
        <f>Dodatni!H37</f>
        <v>252</v>
      </c>
      <c r="H253" s="26">
        <f t="shared" si="12"/>
        <v>60346981.8</v>
      </c>
      <c r="I253" s="4">
        <f t="shared" si="13"/>
        <v>0</v>
      </c>
      <c r="J253" s="27">
        <f>Dodatni!I37</f>
        <v>7295797</v>
      </c>
      <c r="K253" s="27">
        <f>Dodatni!J37</f>
        <v>8325709</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10475130.24</v>
      </c>
      <c r="I259" s="4">
        <f t="shared" si="13"/>
        <v>0</v>
      </c>
      <c r="J259" s="27">
        <f>Dodatni!I45</f>
        <v>1041486</v>
      </c>
      <c r="K259" s="27">
        <f>Dodatni!J45</f>
        <v>1509321</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4926624.42</v>
      </c>
      <c r="I263" s="4">
        <f t="shared" si="13"/>
        <v>0</v>
      </c>
      <c r="J263" s="27">
        <f>Dodatni!I50</f>
        <v>476903</v>
      </c>
      <c r="K263" s="27">
        <f>Dodatni!J50</f>
        <v>701744</v>
      </c>
    </row>
    <row r="264" spans="4:11" ht="12.75">
      <c r="D264" s="4" t="s">
        <v>1231</v>
      </c>
      <c r="E264" s="4">
        <v>3</v>
      </c>
      <c r="F264" s="4">
        <f>Dodatni!H51</f>
        <v>263</v>
      </c>
      <c r="H264" s="26">
        <f t="shared" si="12"/>
        <v>3886558.77</v>
      </c>
      <c r="I264" s="4">
        <f t="shared" si="13"/>
        <v>0</v>
      </c>
      <c r="J264" s="27">
        <f>Dodatni!I51</f>
        <v>474475</v>
      </c>
      <c r="K264" s="27">
        <f>Dodatni!J51</f>
        <v>501652</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1106874.08</v>
      </c>
      <c r="I273" s="4">
        <f t="shared" si="13"/>
        <v>0</v>
      </c>
      <c r="J273" s="27">
        <f>Dodatni!I60</f>
        <v>120659</v>
      </c>
      <c r="K273" s="27">
        <f>Dodatni!J60</f>
        <v>143140</v>
      </c>
    </row>
    <row r="274" spans="4:11" ht="12.75">
      <c r="D274" s="4" t="s">
        <v>1231</v>
      </c>
      <c r="E274" s="4">
        <v>3</v>
      </c>
      <c r="F274" s="4">
        <f>Dodatni!H61</f>
        <v>273</v>
      </c>
      <c r="H274" s="26">
        <f t="shared" si="12"/>
        <v>1110943.47</v>
      </c>
      <c r="I274" s="4">
        <f t="shared" si="13"/>
        <v>0</v>
      </c>
      <c r="J274" s="27">
        <f>Dodatni!I61</f>
        <v>120659</v>
      </c>
      <c r="K274" s="27">
        <f>Dodatni!J61</f>
        <v>143140</v>
      </c>
    </row>
    <row r="275" spans="4:11" ht="12.75">
      <c r="D275" s="4" t="s">
        <v>1231</v>
      </c>
      <c r="E275" s="4">
        <v>3</v>
      </c>
      <c r="F275" s="4">
        <f>Dodatni!H62</f>
        <v>274</v>
      </c>
      <c r="H275" s="26">
        <f t="shared" si="12"/>
        <v>0</v>
      </c>
      <c r="I275" s="4">
        <f t="shared" si="13"/>
        <v>0</v>
      </c>
      <c r="J275" s="27">
        <f>Dodatni!I62</f>
        <v>0</v>
      </c>
      <c r="K275" s="27">
        <f>Dodatni!J62</f>
        <v>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4370846.71</v>
      </c>
      <c r="I278" s="4">
        <f t="shared" si="13"/>
        <v>0</v>
      </c>
      <c r="J278" s="27">
        <f>Dodatni!I65</f>
        <v>272873</v>
      </c>
      <c r="K278" s="27">
        <f>Dodatni!J65</f>
        <v>652525</v>
      </c>
    </row>
    <row r="279" spans="4:11" ht="12.75">
      <c r="D279" s="4" t="s">
        <v>1231</v>
      </c>
      <c r="E279" s="4">
        <v>3</v>
      </c>
      <c r="F279" s="4">
        <f>Dodatni!H66</f>
        <v>278</v>
      </c>
      <c r="H279" s="26">
        <f t="shared" si="12"/>
        <v>43090</v>
      </c>
      <c r="I279" s="4">
        <f t="shared" si="13"/>
        <v>0</v>
      </c>
      <c r="J279" s="27">
        <f>Dodatni!I66</f>
        <v>9500</v>
      </c>
      <c r="K279" s="27">
        <f>Dodatni!J66</f>
        <v>3000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278.32</v>
      </c>
      <c r="I285" s="4">
        <f aca="true" t="shared" si="15" ref="I285:I294">ABS(ROUND(J285,0)-J285)+ABS(ROUND(K285,0)-K285)</f>
        <v>0</v>
      </c>
      <c r="J285" s="27">
        <f>Dodatni!I73</f>
        <v>26</v>
      </c>
      <c r="K285" s="27">
        <f>Dodatni!J73</f>
        <v>36</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109783.24000000002</v>
      </c>
      <c r="I288" s="4">
        <f t="shared" si="15"/>
        <v>0</v>
      </c>
      <c r="J288" s="27">
        <f>Dodatni!I76</f>
        <v>4792</v>
      </c>
      <c r="K288" s="27">
        <f>Dodatni!J76</f>
        <v>16730</v>
      </c>
    </row>
    <row r="289" spans="4:11" ht="12.75">
      <c r="D289" s="4" t="s">
        <v>1231</v>
      </c>
      <c r="E289" s="4">
        <v>3</v>
      </c>
      <c r="F289" s="4">
        <f>Dodatni!H78</f>
        <v>288</v>
      </c>
      <c r="H289" s="26">
        <f t="shared" si="14"/>
        <v>8754860.16</v>
      </c>
      <c r="I289" s="4">
        <f t="shared" si="15"/>
        <v>0</v>
      </c>
      <c r="J289" s="27">
        <f>Dodatni!I78</f>
        <v>1549508</v>
      </c>
      <c r="K289" s="27">
        <f>Dodatni!J78</f>
        <v>745187</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8815657.8</v>
      </c>
      <c r="I291" s="4">
        <f t="shared" si="15"/>
        <v>0</v>
      </c>
      <c r="J291" s="27">
        <f>Dodatni!I80</f>
        <v>1549508</v>
      </c>
      <c r="K291" s="27">
        <f>Dodatni!J80</f>
        <v>745187</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8937253.079999998</v>
      </c>
      <c r="I295" s="4">
        <f aca="true" t="shared" si="17" ref="I295:I301">ABS(ROUND(J295,0)-J295)+ABS(ROUND(K295,0)-K295)</f>
        <v>0</v>
      </c>
      <c r="J295" s="27">
        <f>Dodatni!I84</f>
        <v>1549508</v>
      </c>
      <c r="K295" s="27">
        <f>Dodatni!J84</f>
        <v>745187</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5" activePane="bottomLeft" state="frozen"/>
      <selection pane="topLeft" activeCell="A2" sqref="A2"/>
      <selection pane="bottomLeft" activeCell="C18" sqref="C18:J18"/>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DA</v>
      </c>
      <c r="V2" s="204" t="s">
        <v>435</v>
      </c>
      <c r="W2" s="223" t="str">
        <f>RefStr!C29</f>
        <v>KD KOSTRENA</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2</v>
      </c>
      <c r="T3" s="206" t="s">
        <v>1290</v>
      </c>
      <c r="U3" s="224" t="str">
        <f>RefStr!L21</f>
        <v>80072926694</v>
      </c>
      <c r="V3" s="206" t="s">
        <v>1594</v>
      </c>
      <c r="W3" s="224">
        <f>RefStr!C31</f>
        <v>51221</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1</v>
      </c>
      <c r="P4" s="207">
        <f>Dodatni!Q2</f>
        <v>1</v>
      </c>
      <c r="Q4" s="224">
        <f>Dodatni!Q3</f>
        <v>1</v>
      </c>
      <c r="R4" s="206" t="s">
        <v>1748</v>
      </c>
      <c r="S4" s="224">
        <f>IF(RefStr!C52&lt;&gt;"",IF(ISERROR(INT(RefStr!C52)),0,RefStr!C52),0)</f>
        <v>21</v>
      </c>
      <c r="T4" s="206" t="s">
        <v>189</v>
      </c>
      <c r="U4" s="224" t="str">
        <f>RefStr!C27</f>
        <v>39751563435</v>
      </c>
      <c r="V4" s="206" t="s">
        <v>1595</v>
      </c>
      <c r="W4" s="224" t="str">
        <f>RefStr!F31</f>
        <v>KOSTRENA</v>
      </c>
      <c r="X4" s="226" t="s">
        <v>2324</v>
      </c>
      <c r="Y4" s="227" t="str">
        <f>RefStr!I68</f>
        <v>DA</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3</v>
      </c>
      <c r="T5" s="206" t="s">
        <v>433</v>
      </c>
      <c r="U5" s="224" t="str">
        <f>RefStr!H27</f>
        <v>01462555</v>
      </c>
      <c r="V5" s="206" t="s">
        <v>1596</v>
      </c>
      <c r="W5" s="224" t="str">
        <f>RefStr!C33</f>
        <v>ŽUKNICA 1B</v>
      </c>
      <c r="X5" s="226" t="s">
        <v>22</v>
      </c>
      <c r="Y5" s="227" t="str">
        <f>RefStr!I62</f>
        <v>DA</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040149132</v>
      </c>
      <c r="V6" s="206" t="s">
        <v>61</v>
      </c>
      <c r="W6" s="224" t="str">
        <f>RefStr!L35</f>
        <v>051/287-500</v>
      </c>
      <c r="X6" s="206" t="s">
        <v>19</v>
      </c>
      <c r="Y6" s="224" t="str">
        <f>RefStr!C68</f>
        <v>HELENA PAUNOVIĆ</v>
      </c>
      <c r="Z6" s="206" t="s">
        <v>45</v>
      </c>
      <c r="AA6" s="224">
        <f>RefStr!C46</f>
        <v>0</v>
      </c>
    </row>
    <row r="7" spans="1:27" ht="13.5" customHeight="1">
      <c r="A7" s="504"/>
      <c r="B7" s="505"/>
      <c r="C7" s="505"/>
      <c r="D7" s="505"/>
      <c r="E7" s="505"/>
      <c r="F7" s="505"/>
      <c r="G7" s="505"/>
      <c r="H7" s="505"/>
      <c r="I7" s="214" t="s">
        <v>2092</v>
      </c>
      <c r="J7" s="216">
        <f>SUM(M12:M122)</f>
        <v>2</v>
      </c>
      <c r="N7" s="203" t="s">
        <v>2689</v>
      </c>
      <c r="O7" s="206">
        <f>PK!AC1</f>
        <v>0</v>
      </c>
      <c r="P7" s="207">
        <f>PK!AC2</f>
        <v>0</v>
      </c>
      <c r="Q7" s="224">
        <f>PK!AC3</f>
        <v>0</v>
      </c>
      <c r="R7" s="206" t="s">
        <v>62</v>
      </c>
      <c r="S7" s="224">
        <f>IF(RefStr!C44&lt;&gt;"",IF(ISERROR(INT(RefStr!C44)),0,RefStr!C44),0)</f>
        <v>1</v>
      </c>
      <c r="T7" s="206" t="s">
        <v>2810</v>
      </c>
      <c r="U7" s="224">
        <f>RefStr!C7</f>
        <v>5</v>
      </c>
      <c r="V7" s="206" t="s">
        <v>1742</v>
      </c>
      <c r="W7" s="224" t="str">
        <f>TRIM(UPPER(RefStr!C35))</f>
        <v>INFO@KD-KOSTRENA.HR</v>
      </c>
      <c r="X7" s="206" t="s">
        <v>20</v>
      </c>
      <c r="Y7" s="224" t="str">
        <f>RefStr!C70</f>
        <v>051/287-500</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44562</v>
      </c>
      <c r="T8" s="206" t="s">
        <v>2809</v>
      </c>
      <c r="U8" s="224" t="str">
        <f>RefStr!D7</f>
        <v>Društvo s ograničenom odgovornošću</v>
      </c>
      <c r="V8" s="206" t="s">
        <v>67</v>
      </c>
      <c r="W8" s="224" t="str">
        <f>RefStr!C42</f>
        <v>3811</v>
      </c>
      <c r="X8" s="206" t="s">
        <v>21</v>
      </c>
      <c r="Y8" s="224" t="str">
        <f>TRIM(UPPER(RefStr!C72))</f>
        <v>H.PAUNOVIC@KD-KOSTRENA.HR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36</v>
      </c>
      <c r="Q9" s="223">
        <f>RefStr!F58</f>
        <v>40</v>
      </c>
      <c r="R9" s="206" t="s">
        <v>2808</v>
      </c>
      <c r="S9" s="224">
        <f>IF(RefStr!F4&lt;&gt;"",RefStr!F4,0)</f>
        <v>44926</v>
      </c>
      <c r="T9" s="206" t="s">
        <v>2785</v>
      </c>
      <c r="U9" s="224">
        <f>RefStr!C39</f>
        <v>538</v>
      </c>
      <c r="V9" s="206" t="s">
        <v>44</v>
      </c>
      <c r="W9" s="224" t="str">
        <f>RefStr!D42</f>
        <v>Skupljanje neopasnog otpada</v>
      </c>
      <c r="X9" s="230" t="s">
        <v>2323</v>
      </c>
      <c r="Y9" s="231" t="str">
        <f>RefStr!I66</f>
        <v>DA</v>
      </c>
      <c r="Z9" s="228" t="s">
        <v>2322</v>
      </c>
      <c r="AA9" s="229" t="str">
        <f>RefStr!I64</f>
        <v>NE</v>
      </c>
    </row>
    <row r="10" spans="1:27" ht="13.5" customHeight="1">
      <c r="A10" s="501"/>
      <c r="B10" s="501"/>
      <c r="C10" s="501"/>
      <c r="D10" s="501"/>
      <c r="E10" s="501"/>
      <c r="F10" s="501"/>
      <c r="G10" s="501"/>
      <c r="H10" s="501"/>
      <c r="I10" s="501"/>
      <c r="J10" s="501"/>
      <c r="L10" s="190"/>
      <c r="M10" s="190"/>
      <c r="O10" s="222" t="s">
        <v>2539</v>
      </c>
      <c r="P10" s="208">
        <f>RefStr!C56</f>
        <v>39</v>
      </c>
      <c r="Q10" s="225">
        <f>RefStr!F56</f>
        <v>41</v>
      </c>
      <c r="R10" s="208" t="s">
        <v>2811</v>
      </c>
      <c r="S10" s="225">
        <f>RefStr!C23</f>
        <v>1</v>
      </c>
      <c r="T10" s="208" t="s">
        <v>66</v>
      </c>
      <c r="U10" s="225" t="str">
        <f>RefStr!D39</f>
        <v>Kostrena</v>
      </c>
      <c r="V10" s="232"/>
      <c r="W10" s="233"/>
      <c r="X10" s="234" t="s">
        <v>721</v>
      </c>
      <c r="Y10" s="235">
        <f>RefStr!F12</f>
        <v>2022</v>
      </c>
      <c r="Z10" s="208" t="s">
        <v>2312</v>
      </c>
      <c r="AA10" s="225" t="str">
        <f>RefStr!A75</f>
        <v>SONJA HLADNIK</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2335</v>
      </c>
      <c r="Q50" s="197">
        <f>IF(Bilanca!I73&gt;2600000,1,0)</f>
        <v>1</v>
      </c>
      <c r="R50" s="196">
        <f>IF(RDG!I60&gt;5200000,1,0)</f>
        <v>1</v>
      </c>
      <c r="S50" s="196">
        <f>IF(P10&gt;10,1,0)</f>
        <v>1</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2</v>
      </c>
      <c r="AD50" s="197" t="s">
        <v>2335</v>
      </c>
      <c r="AE50" s="197">
        <f>IF(Bilanca!J73&gt;2600000,1,0)</f>
        <v>1</v>
      </c>
      <c r="AF50" s="196">
        <f>IF(S9&gt;S8,IF(RDG!J60*365/(S9-S8)&gt;5200000,1,0),0)</f>
        <v>1</v>
      </c>
      <c r="AG50" s="196">
        <f>IF(Q10&gt;10,1,0)</f>
        <v>1</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1</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Provjera</v>
      </c>
      <c r="C76" s="491" t="s">
        <v>2661</v>
      </c>
      <c r="D76" s="491"/>
      <c r="E76" s="491"/>
      <c r="F76" s="491"/>
      <c r="G76" s="491"/>
      <c r="H76" s="491"/>
      <c r="I76" s="491"/>
      <c r="J76" s="491"/>
      <c r="L76" s="190">
        <f>MAX(N76:R76)</f>
        <v>0</v>
      </c>
      <c r="M76" s="191">
        <f>MAX(S76:W76)</f>
        <v>1</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1</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2680</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\\KDKsrv01\Dokumenti\Korisnički Dokumenti\Sanja Gajić\ZAVRŠNI\JAVNA OBJAVA 2023\[2022 GFI Revizor-POD KD KOSTRENA.xls]Bilanca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A68" sqref="A68:B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2022</v>
      </c>
    </row>
    <row r="2" spans="1:17" s="144" customFormat="1" ht="54" customHeight="1">
      <c r="A2" s="320" t="s">
        <v>1372</v>
      </c>
      <c r="B2" s="321"/>
      <c r="C2" s="321"/>
      <c r="D2" s="321"/>
      <c r="E2" s="321"/>
      <c r="F2" s="321"/>
      <c r="G2" s="321"/>
      <c r="H2" s="321"/>
      <c r="I2" s="321"/>
      <c r="J2" s="321"/>
      <c r="K2" s="321"/>
      <c r="L2" s="321"/>
      <c r="M2" s="321"/>
      <c r="N2" s="322"/>
      <c r="O2" s="3"/>
      <c r="P2" s="50"/>
      <c r="Q2" s="49">
        <f>IF(F4&lt;&gt;"",YEAR(F4),"")</f>
        <v>2022</v>
      </c>
    </row>
    <row r="3" spans="1:17" s="144" customFormat="1" ht="22.5" customHeight="1">
      <c r="A3" s="33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1"/>
      <c r="C3" s="331"/>
      <c r="D3" s="331"/>
      <c r="E3" s="331"/>
      <c r="F3" s="331"/>
      <c r="G3" s="331"/>
      <c r="H3" s="331"/>
      <c r="I3" s="331"/>
      <c r="J3" s="331"/>
      <c r="K3" s="331"/>
      <c r="L3" s="331"/>
      <c r="M3" s="331"/>
      <c r="N3" s="332"/>
      <c r="O3" s="3"/>
      <c r="P3" s="50"/>
      <c r="Q3" s="50"/>
    </row>
    <row r="4" spans="1:17" s="144" customFormat="1" ht="15" customHeight="1">
      <c r="A4" s="323" t="s">
        <v>1226</v>
      </c>
      <c r="B4" s="324"/>
      <c r="C4" s="318">
        <v>44562</v>
      </c>
      <c r="D4" s="319"/>
      <c r="E4" s="7" t="s">
        <v>1236</v>
      </c>
      <c r="F4" s="318">
        <v>44926</v>
      </c>
      <c r="G4" s="319"/>
      <c r="H4" s="325" t="s">
        <v>2080</v>
      </c>
      <c r="I4" s="288"/>
      <c r="J4" s="288"/>
      <c r="K4" s="288"/>
      <c r="L4" s="288"/>
      <c r="M4" s="288"/>
      <c r="N4" s="288"/>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23" t="s">
        <v>1235</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21.72</v>
      </c>
    </row>
    <row r="10" spans="1:17" ht="23.25" customHeight="1" thickBot="1">
      <c r="A10" s="328" t="s">
        <v>2626</v>
      </c>
      <c r="B10" s="329"/>
      <c r="C10" s="157"/>
      <c r="D10" s="157"/>
      <c r="E10" s="153"/>
      <c r="F10" s="154"/>
      <c r="G10" s="155"/>
      <c r="H10" s="152"/>
      <c r="I10" s="152"/>
      <c r="J10" s="152"/>
      <c r="K10" s="315" t="s">
        <v>718</v>
      </c>
      <c r="L10" s="316"/>
      <c r="M10" s="316"/>
      <c r="N10" s="317"/>
      <c r="P10" s="50" t="s">
        <v>2779</v>
      </c>
      <c r="Q10" s="51">
        <f>IF(F4&lt;&gt;"",YEAR(F4)/100+MONTH(F4)/2+DAY(F4),0)</f>
        <v>57.22</v>
      </c>
    </row>
    <row r="11" spans="1:17" ht="30" customHeight="1">
      <c r="A11" s="299" t="s">
        <v>2520</v>
      </c>
      <c r="B11" s="300"/>
      <c r="C11" s="300"/>
      <c r="D11" s="300"/>
      <c r="E11" s="300"/>
      <c r="F11" s="300"/>
      <c r="G11" s="300"/>
      <c r="H11" s="300"/>
      <c r="I11" s="300"/>
      <c r="J11" s="300"/>
      <c r="K11" s="300"/>
      <c r="L11" s="300"/>
      <c r="M11" s="300"/>
      <c r="N11" s="300"/>
      <c r="P11" s="50" t="s">
        <v>2780</v>
      </c>
      <c r="Q11" s="51">
        <f>INT(VALUE(C17))</f>
        <v>10</v>
      </c>
    </row>
    <row r="12" spans="4:17" ht="19.5" customHeight="1">
      <c r="D12" s="152"/>
      <c r="E12" s="158" t="s">
        <v>199</v>
      </c>
      <c r="F12" s="281">
        <v>2022</v>
      </c>
      <c r="G12" s="282"/>
      <c r="H12" s="308" t="s">
        <v>2524</v>
      </c>
      <c r="I12" s="309"/>
      <c r="J12" s="309"/>
      <c r="K12" s="152"/>
      <c r="L12" s="152"/>
      <c r="M12" s="152"/>
      <c r="N12" s="152"/>
      <c r="P12" s="50" t="s">
        <v>434</v>
      </c>
      <c r="Q12" s="51">
        <f>INT(VALUE(H27))/10</f>
        <v>146255.5</v>
      </c>
    </row>
    <row r="13" spans="4:17" ht="9.75" customHeight="1">
      <c r="D13" s="152"/>
      <c r="E13" s="158"/>
      <c r="H13" s="23"/>
      <c r="I13" s="159"/>
      <c r="J13" s="159"/>
      <c r="K13" s="152"/>
      <c r="L13" s="152"/>
      <c r="M13" s="152"/>
      <c r="N13" s="152"/>
      <c r="P13" s="50" t="s">
        <v>434</v>
      </c>
      <c r="Q13" s="51">
        <f>INT(VALUE(M27))/50</f>
        <v>802982.64</v>
      </c>
    </row>
    <row r="14" spans="1:17" ht="15">
      <c r="A14" s="303" t="s">
        <v>185</v>
      </c>
      <c r="B14" s="303"/>
      <c r="C14" s="303"/>
      <c r="D14" s="160"/>
      <c r="E14" s="161"/>
      <c r="F14" s="301"/>
      <c r="G14" s="302"/>
      <c r="H14" s="302"/>
      <c r="I14" s="152"/>
      <c r="J14" s="313" t="s">
        <v>2519</v>
      </c>
      <c r="K14" s="314"/>
      <c r="L14" s="314"/>
      <c r="M14" s="314"/>
      <c r="N14" s="314"/>
      <c r="P14" s="50" t="s">
        <v>189</v>
      </c>
      <c r="Q14" s="51">
        <f>INT(VALUE(C27))/100</f>
        <v>397515634.35</v>
      </c>
    </row>
    <row r="15" spans="1:17" ht="19.5" customHeight="1">
      <c r="A15" s="310">
        <f>Skriveni!B59</f>
        <v>1841884363.7299995</v>
      </c>
      <c r="B15" s="311"/>
      <c r="C15" s="312"/>
      <c r="D15" s="56"/>
      <c r="E15" s="56"/>
      <c r="F15" s="56"/>
      <c r="G15" s="56"/>
      <c r="H15" s="56"/>
      <c r="I15" s="56"/>
      <c r="J15" s="56"/>
      <c r="K15" s="56"/>
      <c r="L15" s="56"/>
      <c r="M15" s="56"/>
      <c r="N15" s="56"/>
      <c r="P15" s="50" t="s">
        <v>2781</v>
      </c>
      <c r="Q15" s="51">
        <f>LEN(Skriveni!B9)</f>
        <v>11</v>
      </c>
    </row>
    <row r="16" spans="4:17" ht="12.75" customHeight="1">
      <c r="D16" s="56"/>
      <c r="E16" s="56"/>
      <c r="F16" s="56"/>
      <c r="G16" s="56"/>
      <c r="H16" s="56"/>
      <c r="I16" s="56"/>
      <c r="P16" s="50" t="s">
        <v>2782</v>
      </c>
      <c r="Q16" s="51">
        <f>INT(VALUE(C31))/100</f>
        <v>512.21</v>
      </c>
    </row>
    <row r="17" spans="1:17" ht="15" customHeight="1">
      <c r="A17" s="272" t="s">
        <v>527</v>
      </c>
      <c r="B17" s="273"/>
      <c r="C17" s="31">
        <v>10</v>
      </c>
      <c r="D17" s="30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5"/>
      <c r="F17" s="305"/>
      <c r="G17" s="305"/>
      <c r="H17" s="305"/>
      <c r="I17" s="305"/>
      <c r="J17" s="305"/>
      <c r="K17" s="305"/>
      <c r="L17" s="305"/>
      <c r="M17" s="305"/>
      <c r="N17" s="305"/>
      <c r="P17" s="50" t="s">
        <v>2783</v>
      </c>
      <c r="Q17" s="51">
        <f>LEN(Skriveni!B11)</f>
        <v>8</v>
      </c>
    </row>
    <row r="18" spans="1:17" ht="7.5" customHeight="1">
      <c r="A18" s="152"/>
      <c r="B18" s="152"/>
      <c r="C18" s="56"/>
      <c r="D18" s="305"/>
      <c r="E18" s="305"/>
      <c r="F18" s="305"/>
      <c r="G18" s="305"/>
      <c r="H18" s="305"/>
      <c r="I18" s="305"/>
      <c r="J18" s="305"/>
      <c r="K18" s="305"/>
      <c r="L18" s="305"/>
      <c r="M18" s="305"/>
      <c r="N18" s="305"/>
      <c r="Q18" s="51"/>
    </row>
    <row r="19" spans="1:17" ht="15" customHeight="1">
      <c r="A19" s="272" t="s">
        <v>187</v>
      </c>
      <c r="B19" s="273"/>
      <c r="C19" s="32">
        <v>3</v>
      </c>
      <c r="D19" s="306"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07"/>
      <c r="F19" s="307"/>
      <c r="G19" s="307"/>
      <c r="H19" s="307"/>
      <c r="I19" s="283" t="s">
        <v>2079</v>
      </c>
      <c r="J19" s="284"/>
      <c r="K19" s="284"/>
      <c r="L19" s="284"/>
      <c r="M19" s="284"/>
      <c r="N19" s="32" t="s">
        <v>2979</v>
      </c>
      <c r="P19" s="50" t="s">
        <v>2784</v>
      </c>
      <c r="Q19" s="51">
        <f>LEN(Skriveni!B12)</f>
        <v>10</v>
      </c>
    </row>
    <row r="20" spans="1:17" ht="7.5" customHeight="1">
      <c r="A20" s="10"/>
      <c r="B20" s="43"/>
      <c r="C20" s="30"/>
      <c r="D20" s="307"/>
      <c r="E20" s="307"/>
      <c r="F20" s="307"/>
      <c r="G20" s="307"/>
      <c r="H20" s="307"/>
      <c r="I20" s="30"/>
      <c r="M20" s="142"/>
      <c r="N20" s="162"/>
      <c r="Q20" s="51"/>
    </row>
    <row r="21" spans="1:17" ht="15" customHeight="1">
      <c r="A21" s="292" t="s">
        <v>2527</v>
      </c>
      <c r="B21" s="294"/>
      <c r="C21" s="245" t="s">
        <v>110</v>
      </c>
      <c r="D21" s="188" t="s">
        <v>2530</v>
      </c>
      <c r="E21" s="272" t="s">
        <v>2528</v>
      </c>
      <c r="F21" s="288"/>
      <c r="G21" s="288"/>
      <c r="H21" s="289"/>
      <c r="I21" s="32" t="s">
        <v>460</v>
      </c>
      <c r="J21" s="290" t="s">
        <v>2529</v>
      </c>
      <c r="K21" s="284"/>
      <c r="L21" s="285" t="s">
        <v>2987</v>
      </c>
      <c r="M21" s="286"/>
      <c r="N21" s="287"/>
      <c r="P21" s="50" t="s">
        <v>2785</v>
      </c>
      <c r="Q21" s="51">
        <f>INT(VALUE(C39))</f>
        <v>538</v>
      </c>
    </row>
    <row r="22" spans="1:17" ht="4.5" customHeight="1">
      <c r="A22" s="22"/>
      <c r="B22" s="22"/>
      <c r="C22" s="22"/>
      <c r="D22" s="22"/>
      <c r="E22" s="22"/>
      <c r="F22" s="22"/>
      <c r="G22" s="22"/>
      <c r="H22" s="22"/>
      <c r="I22" s="22"/>
      <c r="J22" s="22"/>
      <c r="K22" s="22"/>
      <c r="L22" s="22"/>
      <c r="M22" s="22"/>
      <c r="N22" s="22"/>
      <c r="Q22" s="51"/>
    </row>
    <row r="23" spans="1:17" ht="15" customHeight="1">
      <c r="A23" s="292" t="s">
        <v>808</v>
      </c>
      <c r="B23" s="365"/>
      <c r="C23" s="39">
        <v>1</v>
      </c>
      <c r="D23" s="30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5"/>
      <c r="F23" s="305"/>
      <c r="G23" s="305"/>
      <c r="H23" s="305"/>
      <c r="I23" s="305"/>
      <c r="J23" s="305"/>
      <c r="K23" s="305"/>
      <c r="L23" s="305"/>
      <c r="M23" s="305"/>
      <c r="N23" s="305"/>
      <c r="P23" s="50" t="s">
        <v>890</v>
      </c>
      <c r="Q23" s="51">
        <f>INT(VALUE(C42))</f>
        <v>3811</v>
      </c>
    </row>
    <row r="24" spans="1:17" ht="9.75" customHeight="1">
      <c r="A24" s="365"/>
      <c r="B24" s="365"/>
      <c r="C24" s="56"/>
      <c r="D24" s="305"/>
      <c r="E24" s="305"/>
      <c r="F24" s="305"/>
      <c r="G24" s="305"/>
      <c r="H24" s="305"/>
      <c r="I24" s="305"/>
      <c r="J24" s="305"/>
      <c r="K24" s="305"/>
      <c r="L24" s="305"/>
      <c r="M24" s="305"/>
      <c r="N24" s="30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93" t="s">
        <v>2521</v>
      </c>
      <c r="B27" s="295"/>
      <c r="C27" s="285" t="s">
        <v>2980</v>
      </c>
      <c r="D27" s="366"/>
      <c r="E27" s="287"/>
      <c r="F27" s="293" t="s">
        <v>1645</v>
      </c>
      <c r="G27" s="364"/>
      <c r="H27" s="285" t="s">
        <v>2981</v>
      </c>
      <c r="I27" s="363"/>
      <c r="J27" s="293" t="s">
        <v>2518</v>
      </c>
      <c r="K27" s="294"/>
      <c r="L27" s="351"/>
      <c r="M27" s="285" t="s">
        <v>2982</v>
      </c>
      <c r="N27" s="363"/>
      <c r="P27" s="50" t="s">
        <v>2786</v>
      </c>
      <c r="Q27" s="51">
        <f>IF(C21="DA",1,0)</f>
        <v>0</v>
      </c>
    </row>
    <row r="28" spans="1:17" ht="9.75" customHeight="1">
      <c r="A28" s="152"/>
      <c r="B28" s="152"/>
      <c r="C28" s="56"/>
      <c r="D28" s="56"/>
      <c r="E28" s="152"/>
      <c r="F28" s="346" t="s">
        <v>2522</v>
      </c>
      <c r="G28" s="346"/>
      <c r="H28" s="346"/>
      <c r="I28" s="346"/>
      <c r="J28" s="346" t="s">
        <v>2523</v>
      </c>
      <c r="K28" s="346"/>
      <c r="L28" s="346"/>
      <c r="M28" s="346"/>
      <c r="N28" s="346"/>
      <c r="Q28" s="51"/>
    </row>
    <row r="29" spans="1:17" ht="15" customHeight="1">
      <c r="A29" s="272" t="s">
        <v>186</v>
      </c>
      <c r="B29" s="273"/>
      <c r="C29" s="277" t="s">
        <v>2983</v>
      </c>
      <c r="D29" s="278"/>
      <c r="E29" s="278"/>
      <c r="F29" s="278"/>
      <c r="G29" s="278"/>
      <c r="H29" s="278"/>
      <c r="I29" s="278"/>
      <c r="J29" s="278"/>
      <c r="K29" s="278"/>
      <c r="L29" s="279"/>
      <c r="M29" s="56"/>
      <c r="N29" s="56"/>
      <c r="P29" s="50" t="s">
        <v>2787</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2" t="s">
        <v>2824</v>
      </c>
      <c r="B31" s="273"/>
      <c r="C31" s="65">
        <v>51221</v>
      </c>
      <c r="D31" s="347" t="s">
        <v>2823</v>
      </c>
      <c r="E31" s="348"/>
      <c r="F31" s="277" t="s">
        <v>2984</v>
      </c>
      <c r="G31" s="349"/>
      <c r="H31" s="349"/>
      <c r="I31" s="349"/>
      <c r="J31" s="349"/>
      <c r="K31" s="349"/>
      <c r="L31" s="350"/>
      <c r="N31" s="56"/>
      <c r="P31" s="50" t="s">
        <v>156</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2" t="s">
        <v>2184</v>
      </c>
      <c r="B33" s="273"/>
      <c r="C33" s="277" t="s">
        <v>2985</v>
      </c>
      <c r="D33" s="278"/>
      <c r="E33" s="278"/>
      <c r="F33" s="278"/>
      <c r="G33" s="278"/>
      <c r="H33" s="278"/>
      <c r="I33" s="278"/>
      <c r="J33" s="278"/>
      <c r="K33" s="278"/>
      <c r="L33" s="279"/>
      <c r="M33" s="56"/>
      <c r="N33" s="56"/>
      <c r="P33" s="50" t="s">
        <v>2788</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2" t="s">
        <v>2825</v>
      </c>
      <c r="B35" s="273"/>
      <c r="C35" s="274" t="s">
        <v>2986</v>
      </c>
      <c r="D35" s="275"/>
      <c r="E35" s="275"/>
      <c r="F35" s="275"/>
      <c r="G35" s="275"/>
      <c r="H35" s="275"/>
      <c r="I35" s="276"/>
      <c r="J35" s="273" t="s">
        <v>2291</v>
      </c>
      <c r="K35" s="283"/>
      <c r="L35" s="285" t="s">
        <v>2991</v>
      </c>
      <c r="M35" s="286"/>
      <c r="N35" s="287"/>
      <c r="O35" s="50"/>
      <c r="P35" s="50" t="s">
        <v>1748</v>
      </c>
      <c r="Q35" s="51">
        <f>INT(VALUE(C52))</f>
        <v>21</v>
      </c>
    </row>
    <row r="36" spans="1:17" ht="4.5" customHeight="1">
      <c r="A36" s="152"/>
      <c r="B36" s="152"/>
      <c r="C36" s="58"/>
      <c r="D36" s="56"/>
      <c r="E36" s="56"/>
      <c r="F36" s="56"/>
      <c r="G36" s="56"/>
      <c r="H36" s="56"/>
      <c r="I36" s="56"/>
      <c r="J36" s="56"/>
      <c r="K36" s="56"/>
      <c r="L36" s="56"/>
      <c r="M36" s="56"/>
      <c r="N36" s="56"/>
      <c r="Q36" s="51"/>
    </row>
    <row r="37" spans="1:17" ht="15" customHeight="1">
      <c r="A37" s="272" t="s">
        <v>2588</v>
      </c>
      <c r="B37" s="273"/>
      <c r="C37" s="296"/>
      <c r="D37" s="297"/>
      <c r="E37" s="297"/>
      <c r="F37" s="297"/>
      <c r="G37" s="297"/>
      <c r="H37" s="297"/>
      <c r="I37" s="298"/>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2" t="s">
        <v>2517</v>
      </c>
      <c r="B39" s="273"/>
      <c r="C39" s="36">
        <v>538</v>
      </c>
      <c r="D39" s="367" t="str">
        <f>IF(C39="","Upišite šifru grada/općine",IF(ISNA(LOOKUP(C39,A177:A732,A177:A732)),"Šifra grada/općine ne postoji",IF(LOOKUP(C39,A177:A732,A177:A732)&lt;&gt;C39,"Šifra grada/općine ne postoji",LOOKUP(C39,A177:A732,B177:B732))))</f>
        <v>Kostrena</v>
      </c>
      <c r="E39" s="378"/>
      <c r="F39" s="378"/>
      <c r="G39" s="378"/>
      <c r="H39" s="292" t="s">
        <v>1016</v>
      </c>
      <c r="I39" s="351"/>
      <c r="J39" s="54">
        <f>IF(C39&gt;0,LOOKUP(C39,A177:A732,C177:C732),"")</f>
        <v>8</v>
      </c>
      <c r="K39" s="280" t="str">
        <f>IF(J39="","Upišite šifru grada/općine",LOOKUP(J39,A153:A173,B153:B173))</f>
        <v>PRIMORSKO-GORANSKA</v>
      </c>
      <c r="L39" s="280"/>
      <c r="M39" s="280"/>
      <c r="N39" s="280"/>
      <c r="P39" s="50" t="s">
        <v>2790</v>
      </c>
      <c r="Q39" s="51">
        <f>C56+2*F56+3*C58+4*F58</f>
        <v>389</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2" t="s">
        <v>1608</v>
      </c>
      <c r="B42" s="273"/>
      <c r="C42" s="37" t="s">
        <v>792</v>
      </c>
      <c r="D42" s="383" t="str">
        <f>IF(C42="","Upišite šifru razreda glavne djelatnosti",IF(ISNA(LOOKUP(C42,A736:A1351,A736:A1351)),"Šifra NKD-a ne postoji",IF(LOOKUP(C42,A736:A1351,A736:A1351)&lt;&gt;C42,"Šifra NKD-a ne postoji",LOOKUP(C42,A736:A1351,B736:B1351))))</f>
        <v>Skupljanje neopasnog otpada</v>
      </c>
      <c r="E42" s="307"/>
      <c r="F42" s="307"/>
      <c r="G42" s="384"/>
      <c r="H42" s="307"/>
      <c r="I42" s="307"/>
      <c r="J42" s="307"/>
      <c r="K42" s="307"/>
      <c r="L42" s="307"/>
      <c r="M42" s="307"/>
      <c r="N42" s="307"/>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2" t="s">
        <v>2516</v>
      </c>
      <c r="B44" s="273"/>
      <c r="C44" s="38">
        <v>1</v>
      </c>
      <c r="D44" s="367"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68"/>
      <c r="F44" s="368"/>
      <c r="G44" s="368"/>
      <c r="H44" s="368"/>
      <c r="I44" s="368"/>
      <c r="J44" s="368"/>
      <c r="K44" s="368"/>
      <c r="L44" s="368"/>
      <c r="M44" s="368"/>
      <c r="N44" s="368"/>
      <c r="P44" s="50" t="s">
        <v>172</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92" t="s">
        <v>1397</v>
      </c>
      <c r="B46" s="293"/>
      <c r="C46" s="39"/>
      <c r="D46" s="369">
        <f>IF(C46="","",IF(ISNA(LOOKUP(C46,A1355:A1603,A1355:A1603)),"Šifra države nepostojeća",IF(LOOKUP(C46,A1355:A1603,A1355:A1603)&lt;&gt;C46,"Šifra države nepostojeća",LOOKUP(C46,A1355:A1603,B1355:B1603))))</f>
      </c>
      <c r="E46" s="370"/>
      <c r="F46" s="370"/>
      <c r="G46" s="370"/>
      <c r="H46" s="370"/>
      <c r="I46" s="370"/>
      <c r="J46" s="293" t="s">
        <v>1396</v>
      </c>
      <c r="K46" s="294"/>
      <c r="L46" s="294"/>
      <c r="M46" s="285"/>
      <c r="N46" s="382"/>
      <c r="P46" s="52" t="s">
        <v>2792</v>
      </c>
      <c r="Q46" s="53">
        <f>INT(VALUE(L21))/100</f>
        <v>800729266.94</v>
      </c>
    </row>
    <row r="47" spans="1:14" ht="9.75" customHeight="1">
      <c r="A47" s="294"/>
      <c r="B47" s="294"/>
      <c r="C47" s="56"/>
      <c r="D47" s="179"/>
      <c r="E47" s="180"/>
      <c r="F47" s="180"/>
      <c r="G47" s="180"/>
      <c r="H47" s="29"/>
      <c r="I47" s="181"/>
      <c r="J47" s="294"/>
      <c r="K47" s="294"/>
      <c r="L47" s="294"/>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2" t="s">
        <v>188</v>
      </c>
      <c r="B50" s="273"/>
      <c r="C50" s="39">
        <v>2</v>
      </c>
      <c r="D50" s="371" t="str">
        <f>IF(C50="","Upišite oznaku veličine",IF(ISNA(LOOKUP(C50,A124:A127,A124:A127)),"Nepostojeća oznaka veličine",IF(LOOKUP(C50,A124:A127,A124:A127)&lt;&gt;C50,"Nepostojeća oznaka veličine",LOOKUP(C50,A124:A127,B124:B127))))</f>
        <v>Mali poduzetnik</v>
      </c>
      <c r="E50" s="372"/>
      <c r="F50" s="372"/>
      <c r="G50" s="372"/>
      <c r="H50" s="372"/>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2" t="s">
        <v>526</v>
      </c>
      <c r="B52" s="273"/>
      <c r="C52" s="39">
        <v>21</v>
      </c>
      <c r="D52" s="371" t="str">
        <f>IF(C52="","Upišite oznaku vlasništva",IF(ISNA(LOOKUP(C52,A80:A87,A80:A87)),"Nepostojeća oznaka vlasništva",IF(LOOKUP(C52,A80:A87,A80:A87)&lt;&gt;C52,"Nepostojeća oznaka vlasništva",LOOKUP(C52,A80:A87,B80:B87))))</f>
        <v>Privatno od osnivanja</v>
      </c>
      <c r="E52" s="372"/>
      <c r="F52" s="372"/>
      <c r="G52" s="372"/>
      <c r="H52" s="373"/>
      <c r="I52" s="5" t="str">
        <f>IF(OR(Bilanca!Q1=1,RDG!Q1=1,N6="NE"),"DA","NE")</f>
        <v>DA</v>
      </c>
      <c r="J52" s="361" t="s">
        <v>2883</v>
      </c>
      <c r="K52" s="342"/>
      <c r="L52" s="342"/>
      <c r="M52" s="342"/>
      <c r="N52" s="342"/>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2" t="s">
        <v>2531</v>
      </c>
      <c r="B54" s="273"/>
      <c r="C54" s="36">
        <v>100</v>
      </c>
      <c r="D54" s="55" t="s">
        <v>2532</v>
      </c>
      <c r="F54" s="36">
        <v>0</v>
      </c>
      <c r="G54" s="55" t="s">
        <v>2533</v>
      </c>
      <c r="H54" s="56"/>
      <c r="I54" s="5" t="str">
        <f>IF(OR(Dodatni!Q1=1,AND(N6="NE",C19&lt;&gt;2)),"DA","NE")</f>
        <v>DA</v>
      </c>
      <c r="J54" s="361" t="s">
        <v>2714</v>
      </c>
      <c r="K54" s="342"/>
      <c r="L54" s="342"/>
      <c r="M54" s="342"/>
      <c r="N54" s="342"/>
      <c r="O54" s="182"/>
      <c r="P54" s="50" t="s">
        <v>62</v>
      </c>
      <c r="Q54" s="50">
        <f>C44/10</f>
        <v>0.1</v>
      </c>
    </row>
    <row r="55" spans="1:15" ht="4.5" customHeight="1">
      <c r="A55" s="292" t="s">
        <v>2594</v>
      </c>
      <c r="B55" s="294"/>
      <c r="D55" s="57"/>
      <c r="F55" s="58"/>
      <c r="G55" s="58"/>
      <c r="H55" s="58"/>
      <c r="I55" s="58"/>
      <c r="J55" s="184"/>
      <c r="K55" s="184"/>
      <c r="L55" s="184"/>
      <c r="M55" s="184"/>
      <c r="N55" s="184"/>
      <c r="O55" s="182"/>
    </row>
    <row r="56" spans="1:17" ht="15" customHeight="1">
      <c r="A56" s="294"/>
      <c r="B56" s="294"/>
      <c r="C56" s="40">
        <v>39</v>
      </c>
      <c r="D56" s="374" t="s">
        <v>1511</v>
      </c>
      <c r="E56" s="381"/>
      <c r="F56" s="40">
        <v>41</v>
      </c>
      <c r="G56" s="374" t="s">
        <v>1512</v>
      </c>
      <c r="H56" s="375"/>
      <c r="I56" s="218" t="s">
        <v>460</v>
      </c>
      <c r="J56" s="360" t="s">
        <v>488</v>
      </c>
      <c r="K56" s="342"/>
      <c r="L56" s="342"/>
      <c r="M56" s="342"/>
      <c r="N56" s="342"/>
      <c r="O56" s="182"/>
      <c r="P56" s="50" t="s">
        <v>719</v>
      </c>
      <c r="Q56" s="50">
        <f>C46/20</f>
        <v>0</v>
      </c>
    </row>
    <row r="57" spans="1:15" ht="4.5" customHeight="1">
      <c r="A57" s="294"/>
      <c r="B57" s="294"/>
      <c r="G57" s="59"/>
      <c r="H57" s="59"/>
      <c r="I57" s="58"/>
      <c r="J57" s="184"/>
      <c r="K57" s="184"/>
      <c r="L57" s="184"/>
      <c r="M57" s="184"/>
      <c r="N57" s="184"/>
      <c r="O57" s="182"/>
    </row>
    <row r="58" spans="1:17" ht="15" customHeight="1">
      <c r="A58" s="376" t="s">
        <v>1019</v>
      </c>
      <c r="B58" s="377"/>
      <c r="C58" s="40">
        <v>36</v>
      </c>
      <c r="D58" s="291" t="s">
        <v>1511</v>
      </c>
      <c r="E58" s="291"/>
      <c r="F58" s="40">
        <v>40</v>
      </c>
      <c r="G58" s="291" t="s">
        <v>1512</v>
      </c>
      <c r="H58" s="291"/>
      <c r="I58" s="5" t="str">
        <f>IF(OR(NT_I!Q1&lt;&gt;0,NT_D!Q1&lt;&gt;0),"DA","NE")</f>
        <v>NE</v>
      </c>
      <c r="J58" s="361" t="s">
        <v>1780</v>
      </c>
      <c r="K58" s="342"/>
      <c r="L58" s="342"/>
      <c r="M58" s="342"/>
      <c r="N58" s="342"/>
      <c r="O58" s="182"/>
      <c r="P58" s="50" t="s">
        <v>720</v>
      </c>
      <c r="Q58" s="50">
        <f>IF(ISERROR(INT(M46)),LEN(TRIM(M46)),INT(M46)/100)</f>
        <v>0</v>
      </c>
    </row>
    <row r="59" spans="1:15" ht="4.5" customHeight="1">
      <c r="A59" s="376"/>
      <c r="B59" s="376"/>
      <c r="G59" s="60"/>
      <c r="H59" s="60"/>
      <c r="I59" s="185"/>
      <c r="J59" s="184"/>
      <c r="K59" s="184"/>
      <c r="L59" s="184"/>
      <c r="M59" s="184"/>
      <c r="N59" s="184"/>
      <c r="O59" s="182"/>
    </row>
    <row r="60" spans="1:17" ht="15" customHeight="1">
      <c r="A60" s="292" t="s">
        <v>452</v>
      </c>
      <c r="B60" s="293"/>
      <c r="C60" s="40">
        <v>12</v>
      </c>
      <c r="D60" s="291" t="s">
        <v>1511</v>
      </c>
      <c r="E60" s="291"/>
      <c r="F60" s="40">
        <v>12</v>
      </c>
      <c r="G60" s="291" t="s">
        <v>1512</v>
      </c>
      <c r="H60" s="291"/>
      <c r="I60" s="219" t="str">
        <f>IF(PK!AC1=1,"DA","NE")</f>
        <v>NE</v>
      </c>
      <c r="J60" s="342" t="s">
        <v>2039</v>
      </c>
      <c r="K60" s="342"/>
      <c r="L60" s="342"/>
      <c r="M60" s="342"/>
      <c r="N60" s="342"/>
      <c r="O60" s="182"/>
      <c r="P60" s="50" t="s">
        <v>2811</v>
      </c>
      <c r="Q60" s="50">
        <f>C23/50</f>
        <v>0.02</v>
      </c>
    </row>
    <row r="61" spans="1:15" ht="9.75" customHeight="1" thickBot="1">
      <c r="A61" s="152"/>
      <c r="B61" s="152"/>
      <c r="I61" s="56"/>
      <c r="J61" s="184"/>
      <c r="K61" s="184"/>
      <c r="L61" s="184"/>
      <c r="M61" s="184"/>
      <c r="N61" s="184"/>
      <c r="O61" s="182"/>
    </row>
    <row r="62" spans="1:15" ht="15" customHeight="1">
      <c r="A62" s="358" t="s">
        <v>2658</v>
      </c>
      <c r="B62" s="359"/>
      <c r="C62" s="359"/>
      <c r="D62" s="186"/>
      <c r="I62" s="218" t="s">
        <v>460</v>
      </c>
      <c r="J62" s="360" t="s">
        <v>190</v>
      </c>
      <c r="K62" s="342"/>
      <c r="L62" s="342"/>
      <c r="M62" s="342"/>
      <c r="N62" s="342"/>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62" t="s">
        <v>2535</v>
      </c>
      <c r="D64" s="288"/>
      <c r="E64" s="288"/>
      <c r="F64" s="288"/>
      <c r="G64" s="152"/>
      <c r="H64" s="152"/>
      <c r="I64" s="218" t="s">
        <v>110</v>
      </c>
      <c r="J64" s="360" t="s">
        <v>191</v>
      </c>
      <c r="K64" s="342"/>
      <c r="L64" s="342"/>
      <c r="M64" s="342"/>
      <c r="N64" s="342"/>
      <c r="O64" s="182"/>
    </row>
    <row r="65" spans="1:15" ht="4.5" customHeight="1">
      <c r="A65" s="162"/>
      <c r="B65" s="162"/>
      <c r="G65" s="152"/>
      <c r="H65" s="152"/>
      <c r="I65" s="56"/>
      <c r="J65" s="184"/>
      <c r="K65" s="184"/>
      <c r="L65" s="184"/>
      <c r="M65" s="184"/>
      <c r="N65" s="184"/>
      <c r="O65" s="182"/>
    </row>
    <row r="66" spans="1:15" ht="15" customHeight="1">
      <c r="A66" s="41" t="s">
        <v>1018</v>
      </c>
      <c r="B66" s="352"/>
      <c r="C66" s="297"/>
      <c r="D66" s="297"/>
      <c r="E66" s="297"/>
      <c r="F66" s="297"/>
      <c r="G66" s="298"/>
      <c r="H66" s="187"/>
      <c r="I66" s="218" t="s">
        <v>460</v>
      </c>
      <c r="J66" s="342" t="s">
        <v>454</v>
      </c>
      <c r="K66" s="342"/>
      <c r="L66" s="342"/>
      <c r="M66" s="342"/>
      <c r="N66" s="342"/>
      <c r="O66" s="182"/>
    </row>
    <row r="67" spans="3:15" ht="10.5" customHeight="1">
      <c r="C67" s="357"/>
      <c r="D67" s="355"/>
      <c r="E67" s="355"/>
      <c r="F67" s="355"/>
      <c r="G67" s="355"/>
      <c r="H67" s="356"/>
      <c r="I67" s="56"/>
      <c r="J67" s="343"/>
      <c r="K67" s="343"/>
      <c r="L67" s="343"/>
      <c r="M67" s="343"/>
      <c r="N67" s="343"/>
      <c r="O67" s="182"/>
    </row>
    <row r="68" spans="1:15" ht="15" customHeight="1">
      <c r="A68" s="292" t="s">
        <v>453</v>
      </c>
      <c r="B68" s="335"/>
      <c r="C68" s="277" t="s">
        <v>2989</v>
      </c>
      <c r="D68" s="344"/>
      <c r="E68" s="344"/>
      <c r="F68" s="344"/>
      <c r="G68" s="345"/>
      <c r="H68" s="187"/>
      <c r="I68" s="218" t="s">
        <v>460</v>
      </c>
      <c r="J68" s="342" t="s">
        <v>68</v>
      </c>
      <c r="K68" s="342"/>
      <c r="L68" s="342"/>
      <c r="M68" s="342"/>
      <c r="N68" s="342"/>
      <c r="O68" s="30"/>
    </row>
    <row r="69" spans="3:15" ht="9.75" customHeight="1">
      <c r="C69" s="339" t="s">
        <v>2826</v>
      </c>
      <c r="D69" s="355"/>
      <c r="E69" s="355"/>
      <c r="F69" s="355"/>
      <c r="G69" s="355"/>
      <c r="H69" s="356"/>
      <c r="I69" s="56"/>
      <c r="J69" s="343"/>
      <c r="K69" s="343"/>
      <c r="L69" s="343"/>
      <c r="M69" s="343"/>
      <c r="N69" s="343"/>
      <c r="O69" s="30"/>
    </row>
    <row r="70" spans="1:15" ht="15" customHeight="1">
      <c r="A70" s="292" t="s">
        <v>2534</v>
      </c>
      <c r="B70" s="335"/>
      <c r="C70" s="336" t="s">
        <v>2991</v>
      </c>
      <c r="D70" s="337"/>
      <c r="E70" s="338"/>
      <c r="F70" s="56"/>
      <c r="G70" s="152"/>
      <c r="H70" s="152"/>
      <c r="I70" s="152"/>
      <c r="J70" s="152"/>
      <c r="K70" s="152"/>
      <c r="L70" s="152"/>
      <c r="M70" s="152"/>
      <c r="N70" s="56"/>
      <c r="O70" s="30"/>
    </row>
    <row r="71" spans="1:14" ht="9.75" customHeight="1">
      <c r="A71" s="152"/>
      <c r="B71" s="152"/>
      <c r="C71" s="354" t="s">
        <v>576</v>
      </c>
      <c r="D71" s="288"/>
      <c r="E71" s="288"/>
      <c r="F71" s="288"/>
      <c r="G71" s="288"/>
      <c r="H71" s="288"/>
      <c r="I71" s="152"/>
      <c r="J71" s="152"/>
      <c r="K71" s="152"/>
      <c r="L71" s="152"/>
      <c r="M71" s="152"/>
      <c r="N71" s="56"/>
    </row>
    <row r="72" spans="1:14" ht="15" customHeight="1">
      <c r="A72" s="292" t="s">
        <v>530</v>
      </c>
      <c r="B72" s="335"/>
      <c r="C72" s="353" t="s">
        <v>2990</v>
      </c>
      <c r="D72" s="344"/>
      <c r="E72" s="344"/>
      <c r="F72" s="344"/>
      <c r="G72" s="344"/>
      <c r="H72" s="345"/>
      <c r="I72" s="152"/>
      <c r="J72" s="152"/>
      <c r="K72" s="152"/>
      <c r="N72" s="11" t="str">
        <f>"Verzija Excel datoteke: "&amp;MID(Skriveni!B4,1,1)&amp;"."&amp;MID(Skriveni!B4,2,1)&amp;"."&amp;MID(Skriveni!B4,3,1)&amp;"."</f>
        <v>Verzija Excel datoteke: 4.0.1.</v>
      </c>
    </row>
    <row r="73" spans="1:14" ht="9.75" customHeight="1">
      <c r="A73" s="22"/>
      <c r="B73" s="22"/>
      <c r="C73" s="339" t="s">
        <v>807</v>
      </c>
      <c r="D73" s="339"/>
      <c r="E73" s="339"/>
      <c r="F73" s="339"/>
      <c r="G73" s="339"/>
      <c r="H73" s="339"/>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6" t="s">
        <v>2988</v>
      </c>
      <c r="B75" s="344"/>
      <c r="C75" s="344"/>
      <c r="D75" s="344"/>
      <c r="E75" s="345"/>
      <c r="I75" s="152"/>
      <c r="J75" s="152"/>
      <c r="K75" s="152"/>
      <c r="L75" s="152"/>
      <c r="M75" s="152"/>
      <c r="N75" s="152"/>
    </row>
    <row r="76" spans="1:14" ht="9.75" customHeight="1">
      <c r="A76" s="340" t="s">
        <v>2855</v>
      </c>
      <c r="B76" s="341"/>
      <c r="C76" s="341"/>
      <c r="D76" s="341"/>
      <c r="E76" s="341"/>
      <c r="I76" s="152"/>
      <c r="J76" s="333" t="s">
        <v>2856</v>
      </c>
      <c r="K76" s="334"/>
      <c r="L76" s="334"/>
      <c r="M76" s="334"/>
      <c r="N76" s="334"/>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8" spans="1:2" ht="12.75" hidden="1">
      <c r="A118" s="24">
        <v>1</v>
      </c>
      <c r="B118" s="24" t="s">
        <v>2144</v>
      </c>
    </row>
    <row r="119" spans="1:2" ht="12.75" hidden="1">
      <c r="A119" s="24">
        <v>2</v>
      </c>
      <c r="B119" s="24" t="s">
        <v>2145</v>
      </c>
    </row>
    <row r="120" spans="1:2" ht="12.75" hidden="1">
      <c r="A120" s="24">
        <v>3</v>
      </c>
      <c r="B120" s="24" t="s">
        <v>2146</v>
      </c>
    </row>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44:B44"/>
    <mergeCell ref="D52:H52"/>
    <mergeCell ref="G56:H56"/>
    <mergeCell ref="D23:N24"/>
    <mergeCell ref="C29:L29"/>
    <mergeCell ref="M27:N27"/>
    <mergeCell ref="J27:L27"/>
    <mergeCell ref="F27:G27"/>
    <mergeCell ref="A21:B21"/>
    <mergeCell ref="A23:B24"/>
    <mergeCell ref="H27:I27"/>
    <mergeCell ref="C27:E27"/>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J76:N76"/>
    <mergeCell ref="A68:B68"/>
    <mergeCell ref="A70:B70"/>
    <mergeCell ref="C70:E70"/>
    <mergeCell ref="A72:B72"/>
    <mergeCell ref="C73:H73"/>
    <mergeCell ref="A76:E76"/>
    <mergeCell ref="J68:N69"/>
    <mergeCell ref="A75:E75"/>
    <mergeCell ref="A2:N2"/>
    <mergeCell ref="A7:B7"/>
    <mergeCell ref="A4:B4"/>
    <mergeCell ref="H4:N4"/>
    <mergeCell ref="D7:N7"/>
    <mergeCell ref="A10:B10"/>
    <mergeCell ref="A3:N3"/>
    <mergeCell ref="C4:D4"/>
    <mergeCell ref="D19:H20"/>
    <mergeCell ref="H12:J12"/>
    <mergeCell ref="A15:C15"/>
    <mergeCell ref="J14:N14"/>
    <mergeCell ref="K10:N10"/>
    <mergeCell ref="F4:G4"/>
    <mergeCell ref="D58:E58"/>
    <mergeCell ref="A46:B47"/>
    <mergeCell ref="A27:B27"/>
    <mergeCell ref="A35:B35"/>
    <mergeCell ref="C37:I37"/>
    <mergeCell ref="A11:N11"/>
    <mergeCell ref="F14:H14"/>
    <mergeCell ref="A17:B17"/>
    <mergeCell ref="A14:C14"/>
    <mergeCell ref="D17:N18"/>
    <mergeCell ref="A37:B37"/>
    <mergeCell ref="C35:I35"/>
    <mergeCell ref="C33:L33"/>
    <mergeCell ref="K39:N39"/>
    <mergeCell ref="F12:G12"/>
    <mergeCell ref="I19:M19"/>
    <mergeCell ref="L21:N21"/>
    <mergeCell ref="E21:H21"/>
    <mergeCell ref="A19:B19"/>
    <mergeCell ref="J21:K21"/>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3" activePane="bottomLeft" state="frozen"/>
      <selection pane="topLeft" activeCell="A1" sqref="A1"/>
      <selection pane="bottomLeft" activeCell="J116" sqref="J11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39751563435; KD KOSTRENA</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c r="I10" s="66">
        <f>I11+I18+I28+I39+I44</f>
        <v>11319761</v>
      </c>
      <c r="J10" s="66">
        <f>J11+J18+J28+J39+J44</f>
        <v>9223213</v>
      </c>
    </row>
    <row r="11" spans="1:10" ht="13.5" customHeight="1">
      <c r="A11" s="390" t="s">
        <v>2798</v>
      </c>
      <c r="B11" s="390"/>
      <c r="C11" s="390"/>
      <c r="D11" s="390"/>
      <c r="E11" s="390"/>
      <c r="F11" s="390"/>
      <c r="G11" s="15">
        <v>3</v>
      </c>
      <c r="H11" s="16"/>
      <c r="I11" s="66">
        <f>SUM(I12:I17)</f>
        <v>393431</v>
      </c>
      <c r="J11" s="66">
        <f>SUM(J12:J17)</f>
        <v>332299</v>
      </c>
    </row>
    <row r="12" spans="1:10" ht="13.5" customHeight="1">
      <c r="A12" s="387" t="s">
        <v>2428</v>
      </c>
      <c r="B12" s="387"/>
      <c r="C12" s="387"/>
      <c r="D12" s="387"/>
      <c r="E12" s="387"/>
      <c r="F12" s="387"/>
      <c r="G12" s="15">
        <v>4</v>
      </c>
      <c r="H12" s="16"/>
      <c r="I12" s="67"/>
      <c r="J12" s="67"/>
    </row>
    <row r="13" spans="1:10" ht="24.75" customHeight="1">
      <c r="A13" s="387" t="s">
        <v>2774</v>
      </c>
      <c r="B13" s="387"/>
      <c r="C13" s="387"/>
      <c r="D13" s="387"/>
      <c r="E13" s="387"/>
      <c r="F13" s="387"/>
      <c r="G13" s="15">
        <v>5</v>
      </c>
      <c r="H13" s="16"/>
      <c r="I13" s="67"/>
      <c r="J13" s="67"/>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c r="J16" s="67"/>
    </row>
    <row r="17" spans="1:10" ht="13.5" customHeight="1">
      <c r="A17" s="387" t="s">
        <v>2432</v>
      </c>
      <c r="B17" s="387"/>
      <c r="C17" s="387"/>
      <c r="D17" s="387"/>
      <c r="E17" s="387"/>
      <c r="F17" s="387"/>
      <c r="G17" s="15">
        <v>9</v>
      </c>
      <c r="H17" s="16"/>
      <c r="I17" s="67">
        <v>393431</v>
      </c>
      <c r="J17" s="67">
        <v>332299</v>
      </c>
    </row>
    <row r="18" spans="1:10" ht="13.5" customHeight="1">
      <c r="A18" s="390" t="s">
        <v>2859</v>
      </c>
      <c r="B18" s="390"/>
      <c r="C18" s="390"/>
      <c r="D18" s="390"/>
      <c r="E18" s="390"/>
      <c r="F18" s="390"/>
      <c r="G18" s="15">
        <v>10</v>
      </c>
      <c r="H18" s="16"/>
      <c r="I18" s="66">
        <f>SUM(I19:I27)</f>
        <v>10926330</v>
      </c>
      <c r="J18" s="66">
        <f>SUM(J19:J27)</f>
        <v>8890914</v>
      </c>
    </row>
    <row r="19" spans="1:10" ht="13.5" customHeight="1">
      <c r="A19" s="387" t="s">
        <v>2627</v>
      </c>
      <c r="B19" s="387"/>
      <c r="C19" s="387"/>
      <c r="D19" s="387"/>
      <c r="E19" s="387"/>
      <c r="F19" s="387"/>
      <c r="G19" s="15">
        <v>11</v>
      </c>
      <c r="H19" s="16"/>
      <c r="I19" s="67"/>
      <c r="J19" s="67"/>
    </row>
    <row r="20" spans="1:10" ht="13.5" customHeight="1">
      <c r="A20" s="387" t="s">
        <v>2690</v>
      </c>
      <c r="B20" s="387"/>
      <c r="C20" s="387"/>
      <c r="D20" s="387"/>
      <c r="E20" s="387"/>
      <c r="F20" s="387"/>
      <c r="G20" s="15">
        <v>12</v>
      </c>
      <c r="H20" s="16"/>
      <c r="I20" s="67">
        <v>8874428</v>
      </c>
      <c r="J20" s="67">
        <v>6679387</v>
      </c>
    </row>
    <row r="21" spans="1:10" ht="13.5" customHeight="1">
      <c r="A21" s="387" t="s">
        <v>2628</v>
      </c>
      <c r="B21" s="387"/>
      <c r="C21" s="387"/>
      <c r="D21" s="387"/>
      <c r="E21" s="387"/>
      <c r="F21" s="387"/>
      <c r="G21" s="15">
        <v>13</v>
      </c>
      <c r="H21" s="16"/>
      <c r="I21" s="67">
        <v>28441</v>
      </c>
      <c r="J21" s="67">
        <v>12150</v>
      </c>
    </row>
    <row r="22" spans="1:10" ht="13.5" customHeight="1">
      <c r="A22" s="387" t="s">
        <v>1081</v>
      </c>
      <c r="B22" s="387"/>
      <c r="C22" s="387"/>
      <c r="D22" s="387"/>
      <c r="E22" s="387"/>
      <c r="F22" s="387"/>
      <c r="G22" s="15">
        <v>14</v>
      </c>
      <c r="H22" s="16"/>
      <c r="I22" s="67">
        <v>2021461</v>
      </c>
      <c r="J22" s="67">
        <v>2199377</v>
      </c>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c r="J24" s="67"/>
    </row>
    <row r="25" spans="1:10" ht="13.5" customHeight="1">
      <c r="A25" s="387" t="s">
        <v>1550</v>
      </c>
      <c r="B25" s="387"/>
      <c r="C25" s="387"/>
      <c r="D25" s="387"/>
      <c r="E25" s="387"/>
      <c r="F25" s="387"/>
      <c r="G25" s="15">
        <v>17</v>
      </c>
      <c r="H25" s="16"/>
      <c r="I25" s="67"/>
      <c r="J25" s="67"/>
    </row>
    <row r="26" spans="1:10" ht="13.5" customHeight="1">
      <c r="A26" s="387" t="s">
        <v>1551</v>
      </c>
      <c r="B26" s="387"/>
      <c r="C26" s="387"/>
      <c r="D26" s="387"/>
      <c r="E26" s="387"/>
      <c r="F26" s="387"/>
      <c r="G26" s="15">
        <v>18</v>
      </c>
      <c r="H26" s="16"/>
      <c r="I26" s="67">
        <v>2000</v>
      </c>
      <c r="J26" s="67"/>
    </row>
    <row r="27" spans="1:10" ht="13.5" customHeight="1">
      <c r="A27" s="387" t="s">
        <v>1552</v>
      </c>
      <c r="B27" s="387"/>
      <c r="C27" s="387"/>
      <c r="D27" s="387"/>
      <c r="E27" s="387"/>
      <c r="F27" s="387"/>
      <c r="G27" s="15">
        <v>19</v>
      </c>
      <c r="H27" s="16"/>
      <c r="I27" s="67"/>
      <c r="J27" s="67"/>
    </row>
    <row r="28" spans="1:10" ht="13.5" customHeight="1">
      <c r="A28" s="390" t="s">
        <v>134</v>
      </c>
      <c r="B28" s="390"/>
      <c r="C28" s="390"/>
      <c r="D28" s="390"/>
      <c r="E28" s="390"/>
      <c r="F28" s="390"/>
      <c r="G28" s="15">
        <v>20</v>
      </c>
      <c r="H28" s="16"/>
      <c r="I28" s="66">
        <f>SUM(I29:I38)</f>
        <v>0</v>
      </c>
      <c r="J28" s="66">
        <f>SUM(J29:J38)</f>
        <v>0</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c r="J38" s="67"/>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c r="I45" s="66">
        <f>I46+I54+I61+I71</f>
        <v>3407340</v>
      </c>
      <c r="J45" s="66">
        <f>J46+J54+J61+J71</f>
        <v>3473564</v>
      </c>
    </row>
    <row r="46" spans="1:10" ht="13.5" customHeight="1">
      <c r="A46" s="390" t="s">
        <v>137</v>
      </c>
      <c r="B46" s="390"/>
      <c r="C46" s="390"/>
      <c r="D46" s="390"/>
      <c r="E46" s="390"/>
      <c r="F46" s="390"/>
      <c r="G46" s="15">
        <v>38</v>
      </c>
      <c r="H46" s="16"/>
      <c r="I46" s="66">
        <f>SUM(I47:I53)</f>
        <v>0</v>
      </c>
      <c r="J46" s="66">
        <f>SUM(J47:J53)</f>
        <v>0</v>
      </c>
    </row>
    <row r="47" spans="1:10" ht="13.5" customHeight="1">
      <c r="A47" s="387" t="s">
        <v>2433</v>
      </c>
      <c r="B47" s="387"/>
      <c r="C47" s="387"/>
      <c r="D47" s="387"/>
      <c r="E47" s="387"/>
      <c r="F47" s="387"/>
      <c r="G47" s="15">
        <v>39</v>
      </c>
      <c r="H47" s="16"/>
      <c r="I47" s="67"/>
      <c r="J47" s="67"/>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c r="J50" s="67"/>
    </row>
    <row r="51" spans="1:10" ht="13.5" customHeight="1">
      <c r="A51" s="387" t="s">
        <v>2437</v>
      </c>
      <c r="B51" s="387"/>
      <c r="C51" s="387"/>
      <c r="D51" s="387"/>
      <c r="E51" s="387"/>
      <c r="F51" s="387"/>
      <c r="G51" s="15">
        <v>43</v>
      </c>
      <c r="H51" s="16"/>
      <c r="I51" s="67"/>
      <c r="J51" s="67"/>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c r="I54" s="66">
        <f>SUM(I55:I60)</f>
        <v>646276</v>
      </c>
      <c r="J54" s="66">
        <f>SUM(J55:J60)</f>
        <v>645952</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v>606312</v>
      </c>
      <c r="J57" s="67">
        <v>614755</v>
      </c>
    </row>
    <row r="58" spans="1:10" ht="13.5" customHeight="1">
      <c r="A58" s="387" t="s">
        <v>2550</v>
      </c>
      <c r="B58" s="387"/>
      <c r="C58" s="387"/>
      <c r="D58" s="387"/>
      <c r="E58" s="387"/>
      <c r="F58" s="387"/>
      <c r="G58" s="15">
        <v>50</v>
      </c>
      <c r="H58" s="16"/>
      <c r="I58" s="67">
        <v>1648</v>
      </c>
      <c r="J58" s="67">
        <v>555</v>
      </c>
    </row>
    <row r="59" spans="1:10" ht="13.5" customHeight="1">
      <c r="A59" s="387" t="s">
        <v>2551</v>
      </c>
      <c r="B59" s="387"/>
      <c r="C59" s="387"/>
      <c r="D59" s="387"/>
      <c r="E59" s="387"/>
      <c r="F59" s="387"/>
      <c r="G59" s="15">
        <v>51</v>
      </c>
      <c r="H59" s="16"/>
      <c r="I59" s="67">
        <v>38316</v>
      </c>
      <c r="J59" s="67">
        <v>30592</v>
      </c>
    </row>
    <row r="60" spans="1:10" ht="13.5" customHeight="1">
      <c r="A60" s="387" t="s">
        <v>128</v>
      </c>
      <c r="B60" s="387"/>
      <c r="C60" s="387"/>
      <c r="D60" s="387"/>
      <c r="E60" s="387"/>
      <c r="F60" s="387"/>
      <c r="G60" s="15">
        <v>52</v>
      </c>
      <c r="H60" s="16"/>
      <c r="I60" s="67"/>
      <c r="J60" s="67">
        <v>50</v>
      </c>
    </row>
    <row r="61" spans="1:10" ht="13.5" customHeight="1">
      <c r="A61" s="390" t="s">
        <v>139</v>
      </c>
      <c r="B61" s="390"/>
      <c r="C61" s="390"/>
      <c r="D61" s="390"/>
      <c r="E61" s="390"/>
      <c r="F61" s="390"/>
      <c r="G61" s="15">
        <v>53</v>
      </c>
      <c r="H61" s="16"/>
      <c r="I61" s="66">
        <f>SUM(I62:I70)</f>
        <v>833</v>
      </c>
      <c r="J61" s="66">
        <f>SUM(J62:J70)</f>
        <v>833</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v>833</v>
      </c>
      <c r="J69" s="67">
        <v>833</v>
      </c>
    </row>
    <row r="70" spans="1:10" ht="13.5" customHeight="1">
      <c r="A70" s="387" t="s">
        <v>2042</v>
      </c>
      <c r="B70" s="387"/>
      <c r="C70" s="387"/>
      <c r="D70" s="387"/>
      <c r="E70" s="387"/>
      <c r="F70" s="387"/>
      <c r="G70" s="15">
        <v>62</v>
      </c>
      <c r="H70" s="16"/>
      <c r="I70" s="67"/>
      <c r="J70" s="67"/>
    </row>
    <row r="71" spans="1:10" ht="13.5" customHeight="1">
      <c r="A71" s="390" t="s">
        <v>1634</v>
      </c>
      <c r="B71" s="390"/>
      <c r="C71" s="390"/>
      <c r="D71" s="390"/>
      <c r="E71" s="390"/>
      <c r="F71" s="390"/>
      <c r="G71" s="15">
        <v>63</v>
      </c>
      <c r="H71" s="16"/>
      <c r="I71" s="67">
        <v>2760231</v>
      </c>
      <c r="J71" s="67">
        <v>2826779</v>
      </c>
    </row>
    <row r="72" spans="1:10" ht="24.75" customHeight="1">
      <c r="A72" s="385" t="s">
        <v>1267</v>
      </c>
      <c r="B72" s="385"/>
      <c r="C72" s="385"/>
      <c r="D72" s="385"/>
      <c r="E72" s="385"/>
      <c r="F72" s="385"/>
      <c r="G72" s="15">
        <v>64</v>
      </c>
      <c r="H72" s="16"/>
      <c r="I72" s="67">
        <v>42096</v>
      </c>
      <c r="J72" s="67">
        <v>43159</v>
      </c>
    </row>
    <row r="73" spans="1:10" ht="13.5" customHeight="1">
      <c r="A73" s="385" t="s">
        <v>140</v>
      </c>
      <c r="B73" s="385"/>
      <c r="C73" s="385"/>
      <c r="D73" s="385"/>
      <c r="E73" s="385"/>
      <c r="F73" s="385"/>
      <c r="G73" s="15">
        <v>65</v>
      </c>
      <c r="H73" s="16"/>
      <c r="I73" s="66">
        <f>I9+I10+I45+I72</f>
        <v>14769197</v>
      </c>
      <c r="J73" s="66">
        <f>J9+J10+J45+J72</f>
        <v>12739936</v>
      </c>
    </row>
    <row r="74" spans="1:10" ht="13.5" customHeight="1">
      <c r="A74" s="386" t="s">
        <v>2898</v>
      </c>
      <c r="B74" s="386"/>
      <c r="C74" s="386"/>
      <c r="D74" s="386"/>
      <c r="E74" s="386"/>
      <c r="F74" s="386"/>
      <c r="G74" s="17">
        <v>66</v>
      </c>
      <c r="H74" s="18"/>
      <c r="I74" s="68"/>
      <c r="J74" s="68"/>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4112768</v>
      </c>
      <c r="J76" s="66">
        <f>J77+J78+J79+J85+J86+J92+J95+J98</f>
        <v>4218442</v>
      </c>
      <c r="L76" s="2" t="s">
        <v>82</v>
      </c>
    </row>
    <row r="77" spans="1:10" ht="13.5" customHeight="1">
      <c r="A77" s="390" t="s">
        <v>2398</v>
      </c>
      <c r="B77" s="390"/>
      <c r="C77" s="390"/>
      <c r="D77" s="390"/>
      <c r="E77" s="390"/>
      <c r="F77" s="390"/>
      <c r="G77" s="15">
        <v>68</v>
      </c>
      <c r="H77" s="16"/>
      <c r="I77" s="67">
        <v>2861600</v>
      </c>
      <c r="J77" s="67">
        <v>2861600</v>
      </c>
    </row>
    <row r="78" spans="1:12" ht="13.5" customHeight="1">
      <c r="A78" s="390" t="s">
        <v>2399</v>
      </c>
      <c r="B78" s="390"/>
      <c r="C78" s="390"/>
      <c r="D78" s="390"/>
      <c r="E78" s="390"/>
      <c r="F78" s="390"/>
      <c r="G78" s="15">
        <v>69</v>
      </c>
      <c r="H78" s="16"/>
      <c r="I78" s="67"/>
      <c r="J78" s="67"/>
      <c r="L78" s="2" t="s">
        <v>82</v>
      </c>
    </row>
    <row r="79" spans="1:12" ht="13.5" customHeight="1">
      <c r="A79" s="390" t="s">
        <v>1349</v>
      </c>
      <c r="B79" s="390"/>
      <c r="C79" s="390"/>
      <c r="D79" s="390"/>
      <c r="E79" s="390"/>
      <c r="F79" s="390"/>
      <c r="G79" s="15">
        <v>70</v>
      </c>
      <c r="H79" s="16"/>
      <c r="I79" s="66">
        <f>I80+I81-I82+I83+I84</f>
        <v>0</v>
      </c>
      <c r="J79" s="66">
        <f>J80+J81-J82+J83+J84</f>
        <v>0</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c r="J83" s="67"/>
      <c r="L83" s="2" t="s">
        <v>82</v>
      </c>
    </row>
    <row r="84" spans="1:12" ht="13.5" customHeight="1">
      <c r="A84" s="387" t="s">
        <v>1685</v>
      </c>
      <c r="B84" s="387"/>
      <c r="C84" s="387"/>
      <c r="D84" s="387"/>
      <c r="E84" s="387"/>
      <c r="F84" s="387"/>
      <c r="G84" s="15">
        <v>75</v>
      </c>
      <c r="H84" s="16"/>
      <c r="I84" s="67"/>
      <c r="J84" s="67"/>
      <c r="L84" s="2" t="s">
        <v>82</v>
      </c>
    </row>
    <row r="85" spans="1:12" ht="13.5" customHeight="1">
      <c r="A85" s="390" t="s">
        <v>847</v>
      </c>
      <c r="B85" s="390"/>
      <c r="C85" s="390"/>
      <c r="D85" s="390"/>
      <c r="E85" s="390"/>
      <c r="F85" s="390"/>
      <c r="G85" s="15">
        <v>76</v>
      </c>
      <c r="H85" s="16"/>
      <c r="I85" s="67"/>
      <c r="J85" s="67"/>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1181578</v>
      </c>
      <c r="J92" s="66">
        <f>J93-J94</f>
        <v>1251167</v>
      </c>
      <c r="L92" s="2" t="s">
        <v>82</v>
      </c>
    </row>
    <row r="93" spans="1:10" ht="13.5" customHeight="1">
      <c r="A93" s="387" t="s">
        <v>1688</v>
      </c>
      <c r="B93" s="387"/>
      <c r="C93" s="387"/>
      <c r="D93" s="387"/>
      <c r="E93" s="387"/>
      <c r="F93" s="387"/>
      <c r="G93" s="15">
        <v>84</v>
      </c>
      <c r="H93" s="16"/>
      <c r="I93" s="67">
        <v>1181578</v>
      </c>
      <c r="J93" s="67">
        <v>1251167</v>
      </c>
    </row>
    <row r="94" spans="1:10" ht="13.5" customHeight="1">
      <c r="A94" s="387" t="s">
        <v>1689</v>
      </c>
      <c r="B94" s="387"/>
      <c r="C94" s="387"/>
      <c r="D94" s="387"/>
      <c r="E94" s="387"/>
      <c r="F94" s="387"/>
      <c r="G94" s="15">
        <v>85</v>
      </c>
      <c r="H94" s="16"/>
      <c r="I94" s="67"/>
      <c r="J94" s="67"/>
    </row>
    <row r="95" spans="1:12" ht="13.5" customHeight="1">
      <c r="A95" s="390" t="s">
        <v>929</v>
      </c>
      <c r="B95" s="390"/>
      <c r="C95" s="390"/>
      <c r="D95" s="390"/>
      <c r="E95" s="390"/>
      <c r="F95" s="390"/>
      <c r="G95" s="15">
        <v>86</v>
      </c>
      <c r="H95" s="16"/>
      <c r="I95" s="66">
        <f>I96-I97</f>
        <v>69590</v>
      </c>
      <c r="J95" s="66">
        <f>J96-J97</f>
        <v>105675</v>
      </c>
      <c r="L95" s="2" t="s">
        <v>82</v>
      </c>
    </row>
    <row r="96" spans="1:10" ht="13.5" customHeight="1">
      <c r="A96" s="387" t="s">
        <v>130</v>
      </c>
      <c r="B96" s="387"/>
      <c r="C96" s="387"/>
      <c r="D96" s="387"/>
      <c r="E96" s="387"/>
      <c r="F96" s="387"/>
      <c r="G96" s="15">
        <v>87</v>
      </c>
      <c r="H96" s="16"/>
      <c r="I96" s="67">
        <v>69590</v>
      </c>
      <c r="J96" s="67">
        <v>105675</v>
      </c>
    </row>
    <row r="97" spans="1:10" ht="13.5" customHeight="1">
      <c r="A97" s="387" t="s">
        <v>1690</v>
      </c>
      <c r="B97" s="387"/>
      <c r="C97" s="387"/>
      <c r="D97" s="387"/>
      <c r="E97" s="387"/>
      <c r="F97" s="387"/>
      <c r="G97" s="15">
        <v>88</v>
      </c>
      <c r="H97" s="16"/>
      <c r="I97" s="67"/>
      <c r="J97" s="67"/>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c r="I106" s="66">
        <f>SUM(I107:I117)</f>
        <v>754998</v>
      </c>
      <c r="J106" s="66">
        <f>SUM(J107:J117)</f>
        <v>562243</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v>754998</v>
      </c>
      <c r="J112" s="67">
        <v>562243</v>
      </c>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c r="J116" s="67"/>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c r="I118" s="66">
        <f>SUM(I119:I132)</f>
        <v>934000</v>
      </c>
      <c r="J118" s="66">
        <f>SUM(J119:J132)</f>
        <v>902710</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c r="J122" s="67"/>
    </row>
    <row r="123" spans="1:10" ht="13.5" customHeight="1">
      <c r="A123" s="387" t="s">
        <v>2561</v>
      </c>
      <c r="B123" s="387"/>
      <c r="C123" s="387"/>
      <c r="D123" s="387"/>
      <c r="E123" s="387"/>
      <c r="F123" s="387"/>
      <c r="G123" s="15">
        <v>114</v>
      </c>
      <c r="H123" s="16"/>
      <c r="I123" s="67">
        <v>74661</v>
      </c>
      <c r="J123" s="67">
        <v>93236</v>
      </c>
    </row>
    <row r="124" spans="1:10" ht="13.5" customHeight="1">
      <c r="A124" s="387" t="s">
        <v>2562</v>
      </c>
      <c r="B124" s="387"/>
      <c r="C124" s="387"/>
      <c r="D124" s="387"/>
      <c r="E124" s="387"/>
      <c r="F124" s="387"/>
      <c r="G124" s="15">
        <v>115</v>
      </c>
      <c r="H124" s="16"/>
      <c r="I124" s="67">
        <v>189036</v>
      </c>
      <c r="J124" s="67">
        <v>192756</v>
      </c>
    </row>
    <row r="125" spans="1:10" ht="13.5" customHeight="1">
      <c r="A125" s="387" t="s">
        <v>2557</v>
      </c>
      <c r="B125" s="387"/>
      <c r="C125" s="387"/>
      <c r="D125" s="387"/>
      <c r="E125" s="387"/>
      <c r="F125" s="387"/>
      <c r="G125" s="15">
        <v>116</v>
      </c>
      <c r="H125" s="16"/>
      <c r="I125" s="67"/>
      <c r="J125" s="67">
        <v>3264</v>
      </c>
    </row>
    <row r="126" spans="1:10" ht="13.5" customHeight="1">
      <c r="A126" s="387" t="s">
        <v>2558</v>
      </c>
      <c r="B126" s="387"/>
      <c r="C126" s="387"/>
      <c r="D126" s="387"/>
      <c r="E126" s="387"/>
      <c r="F126" s="387"/>
      <c r="G126" s="15">
        <v>117</v>
      </c>
      <c r="H126" s="16"/>
      <c r="I126" s="67">
        <v>235078</v>
      </c>
      <c r="J126" s="67">
        <v>174187</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v>229726</v>
      </c>
      <c r="J128" s="67">
        <v>242475</v>
      </c>
    </row>
    <row r="129" spans="1:10" ht="13.5" customHeight="1">
      <c r="A129" s="387" t="s">
        <v>2564</v>
      </c>
      <c r="B129" s="387"/>
      <c r="C129" s="387"/>
      <c r="D129" s="387"/>
      <c r="E129" s="387"/>
      <c r="F129" s="387"/>
      <c r="G129" s="15">
        <v>120</v>
      </c>
      <c r="H129" s="16"/>
      <c r="I129" s="67">
        <v>205499</v>
      </c>
      <c r="J129" s="67">
        <v>196792</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c r="J132" s="67"/>
    </row>
    <row r="133" spans="1:10" ht="24.75" customHeight="1">
      <c r="A133" s="385" t="s">
        <v>1269</v>
      </c>
      <c r="B133" s="385"/>
      <c r="C133" s="385"/>
      <c r="D133" s="385"/>
      <c r="E133" s="385"/>
      <c r="F133" s="385"/>
      <c r="G133" s="15">
        <v>124</v>
      </c>
      <c r="H133" s="16"/>
      <c r="I133" s="67">
        <v>8967431</v>
      </c>
      <c r="J133" s="67">
        <v>7056541</v>
      </c>
    </row>
    <row r="134" spans="1:10" ht="13.5" customHeight="1">
      <c r="A134" s="385" t="s">
        <v>2241</v>
      </c>
      <c r="B134" s="385"/>
      <c r="C134" s="385"/>
      <c r="D134" s="385"/>
      <c r="E134" s="385"/>
      <c r="F134" s="385"/>
      <c r="G134" s="15">
        <v>125</v>
      </c>
      <c r="H134" s="16"/>
      <c r="I134" s="66">
        <f>I76+I99+I106+I118+I133</f>
        <v>14769197</v>
      </c>
      <c r="J134" s="66">
        <f>J76+J99+J106+J118+J133</f>
        <v>12739936</v>
      </c>
    </row>
    <row r="135" spans="1:10" ht="13.5" customHeight="1">
      <c r="A135" s="386" t="s">
        <v>385</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9" activePane="bottomLeft" state="frozen"/>
      <selection pane="topLeft" activeCell="A1" sqref="A1"/>
      <selection pane="bottomLeft" activeCell="J46" sqref="J4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01.01.2022. do 31.12.2022.</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39751563435; KD KOSTRENA</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c r="I8" s="80">
        <f>SUM(I9:I13)</f>
        <v>9786391</v>
      </c>
      <c r="J8" s="80">
        <f>SUM(J9:J13)</f>
        <v>10945345</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7295798</v>
      </c>
      <c r="J10" s="67">
        <v>8325709</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2490593</v>
      </c>
      <c r="J13" s="67">
        <v>2619636</v>
      </c>
    </row>
    <row r="14" spans="1:10" s="2" customFormat="1" ht="14.25" customHeight="1">
      <c r="A14" s="385" t="s">
        <v>934</v>
      </c>
      <c r="B14" s="385"/>
      <c r="C14" s="385"/>
      <c r="D14" s="385"/>
      <c r="E14" s="385"/>
      <c r="F14" s="385"/>
      <c r="G14" s="15">
        <v>133</v>
      </c>
      <c r="H14" s="16"/>
      <c r="I14" s="66">
        <f>I15+I16+I20+I24+I25+I26+I29+I36</f>
        <v>9688914</v>
      </c>
      <c r="J14" s="66">
        <f>J15+J16+J20+J24+J25+J26+J29+J36</f>
        <v>10792368</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c r="I16" s="66">
        <f>SUM(I17:I19)</f>
        <v>2307424</v>
      </c>
      <c r="J16" s="66">
        <f>SUM(J17:J19)</f>
        <v>2589191</v>
      </c>
    </row>
    <row r="17" spans="1:10" s="2" customFormat="1" ht="14.25" customHeight="1">
      <c r="A17" s="413" t="s">
        <v>146</v>
      </c>
      <c r="B17" s="413"/>
      <c r="C17" s="413"/>
      <c r="D17" s="413"/>
      <c r="E17" s="413"/>
      <c r="F17" s="413"/>
      <c r="G17" s="15">
        <v>136</v>
      </c>
      <c r="H17" s="16"/>
      <c r="I17" s="67">
        <v>786468</v>
      </c>
      <c r="J17" s="67">
        <v>1014645</v>
      </c>
    </row>
    <row r="18" spans="1:10" s="2" customFormat="1" ht="14.25" customHeight="1">
      <c r="A18" s="413" t="s">
        <v>147</v>
      </c>
      <c r="B18" s="413"/>
      <c r="C18" s="413"/>
      <c r="D18" s="413"/>
      <c r="E18" s="413"/>
      <c r="F18" s="413"/>
      <c r="G18" s="15">
        <v>137</v>
      </c>
      <c r="H18" s="16"/>
      <c r="I18" s="67"/>
      <c r="J18" s="67"/>
    </row>
    <row r="19" spans="1:10" s="2" customFormat="1" ht="14.25" customHeight="1">
      <c r="A19" s="413" t="s">
        <v>52</v>
      </c>
      <c r="B19" s="413"/>
      <c r="C19" s="413"/>
      <c r="D19" s="413"/>
      <c r="E19" s="413"/>
      <c r="F19" s="413"/>
      <c r="G19" s="15">
        <v>138</v>
      </c>
      <c r="H19" s="16"/>
      <c r="I19" s="67">
        <v>1520956</v>
      </c>
      <c r="J19" s="67">
        <v>1574546</v>
      </c>
    </row>
    <row r="20" spans="1:10" s="2" customFormat="1" ht="14.25" customHeight="1">
      <c r="A20" s="387" t="s">
        <v>936</v>
      </c>
      <c r="B20" s="387"/>
      <c r="C20" s="387"/>
      <c r="D20" s="387"/>
      <c r="E20" s="387"/>
      <c r="F20" s="387"/>
      <c r="G20" s="15">
        <v>139</v>
      </c>
      <c r="H20" s="16"/>
      <c r="I20" s="66">
        <f>SUM(I21:I23)</f>
        <v>3832821</v>
      </c>
      <c r="J20" s="66">
        <f>SUM(J21:J23)</f>
        <v>4258276</v>
      </c>
    </row>
    <row r="21" spans="1:10" s="2" customFormat="1" ht="14.25" customHeight="1">
      <c r="A21" s="413" t="s">
        <v>2854</v>
      </c>
      <c r="B21" s="413"/>
      <c r="C21" s="413"/>
      <c r="D21" s="413"/>
      <c r="E21" s="413"/>
      <c r="F21" s="413"/>
      <c r="G21" s="15">
        <v>140</v>
      </c>
      <c r="H21" s="16"/>
      <c r="I21" s="67">
        <v>2466477</v>
      </c>
      <c r="J21" s="67">
        <v>2721217</v>
      </c>
    </row>
    <row r="22" spans="1:10" s="2" customFormat="1" ht="14.25" customHeight="1">
      <c r="A22" s="413" t="s">
        <v>2424</v>
      </c>
      <c r="B22" s="413"/>
      <c r="C22" s="413"/>
      <c r="D22" s="413"/>
      <c r="E22" s="413"/>
      <c r="F22" s="413"/>
      <c r="G22" s="15">
        <v>141</v>
      </c>
      <c r="H22" s="16"/>
      <c r="I22" s="67">
        <v>823498</v>
      </c>
      <c r="J22" s="67">
        <v>933956</v>
      </c>
    </row>
    <row r="23" spans="1:10" s="2" customFormat="1" ht="14.25" customHeight="1">
      <c r="A23" s="413" t="s">
        <v>2425</v>
      </c>
      <c r="B23" s="413"/>
      <c r="C23" s="413"/>
      <c r="D23" s="413"/>
      <c r="E23" s="413"/>
      <c r="F23" s="413"/>
      <c r="G23" s="15">
        <v>142</v>
      </c>
      <c r="H23" s="16"/>
      <c r="I23" s="67">
        <v>542846</v>
      </c>
      <c r="J23" s="67">
        <v>603103</v>
      </c>
    </row>
    <row r="24" spans="1:10" s="2" customFormat="1" ht="14.25" customHeight="1">
      <c r="A24" s="387" t="s">
        <v>2900</v>
      </c>
      <c r="B24" s="387"/>
      <c r="C24" s="387"/>
      <c r="D24" s="387"/>
      <c r="E24" s="387"/>
      <c r="F24" s="387"/>
      <c r="G24" s="15">
        <v>143</v>
      </c>
      <c r="H24" s="16"/>
      <c r="I24" s="67">
        <v>2862199</v>
      </c>
      <c r="J24" s="67">
        <v>2801793</v>
      </c>
    </row>
    <row r="25" spans="1:10" s="2" customFormat="1" ht="14.25" customHeight="1">
      <c r="A25" s="387" t="s">
        <v>2901</v>
      </c>
      <c r="B25" s="387"/>
      <c r="C25" s="387"/>
      <c r="D25" s="387"/>
      <c r="E25" s="387"/>
      <c r="F25" s="387"/>
      <c r="G25" s="15">
        <v>144</v>
      </c>
      <c r="H25" s="16"/>
      <c r="I25" s="67">
        <v>648104</v>
      </c>
      <c r="J25" s="67">
        <v>889314</v>
      </c>
    </row>
    <row r="26" spans="1:12" s="2" customFormat="1" ht="14.25" customHeight="1">
      <c r="A26" s="387" t="s">
        <v>937</v>
      </c>
      <c r="B26" s="387"/>
      <c r="C26" s="387"/>
      <c r="D26" s="387"/>
      <c r="E26" s="387"/>
      <c r="F26" s="387"/>
      <c r="G26" s="15">
        <v>145</v>
      </c>
      <c r="H26" s="16"/>
      <c r="I26" s="66">
        <f>SUM(I27:I28)</f>
        <v>0</v>
      </c>
      <c r="J26" s="66">
        <f>SUM(J27:J28)</f>
        <v>0</v>
      </c>
      <c r="L26" s="2" t="s">
        <v>82</v>
      </c>
    </row>
    <row r="27" spans="1:12" s="2" customFormat="1" ht="14.25" customHeight="1">
      <c r="A27" s="413" t="s">
        <v>148</v>
      </c>
      <c r="B27" s="413"/>
      <c r="C27" s="413"/>
      <c r="D27" s="413"/>
      <c r="E27" s="413"/>
      <c r="F27" s="413"/>
      <c r="G27" s="15">
        <v>146</v>
      </c>
      <c r="H27" s="16"/>
      <c r="I27" s="67"/>
      <c r="J27" s="67"/>
      <c r="L27" s="2" t="s">
        <v>82</v>
      </c>
    </row>
    <row r="28" spans="1:12" s="2" customFormat="1" ht="14.25" customHeight="1">
      <c r="A28" s="413" t="s">
        <v>149</v>
      </c>
      <c r="B28" s="413"/>
      <c r="C28" s="413"/>
      <c r="D28" s="413"/>
      <c r="E28" s="413"/>
      <c r="F28" s="413"/>
      <c r="G28" s="15">
        <v>147</v>
      </c>
      <c r="H28" s="16"/>
      <c r="I28" s="67"/>
      <c r="J28" s="67"/>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v>38366</v>
      </c>
      <c r="J36" s="67">
        <v>253794</v>
      </c>
    </row>
    <row r="37" spans="1:10" s="2" customFormat="1" ht="14.25" customHeight="1">
      <c r="A37" s="385" t="s">
        <v>939</v>
      </c>
      <c r="B37" s="385"/>
      <c r="C37" s="385"/>
      <c r="D37" s="385"/>
      <c r="E37" s="385"/>
      <c r="F37" s="385"/>
      <c r="G37" s="15">
        <v>156</v>
      </c>
      <c r="H37" s="16"/>
      <c r="I37" s="66">
        <f>SUM(I38:I47)</f>
        <v>1256</v>
      </c>
      <c r="J37" s="66">
        <f>SUM(J38:J47)</f>
        <v>678</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v>26</v>
      </c>
      <c r="J44" s="67">
        <v>36</v>
      </c>
    </row>
    <row r="45" spans="1:10" s="2" customFormat="1" ht="14.25" customHeight="1">
      <c r="A45" s="387" t="s">
        <v>54</v>
      </c>
      <c r="B45" s="387"/>
      <c r="C45" s="387"/>
      <c r="D45" s="387"/>
      <c r="E45" s="387"/>
      <c r="F45" s="387"/>
      <c r="G45" s="15">
        <v>164</v>
      </c>
      <c r="H45" s="16"/>
      <c r="I45" s="67">
        <v>1230</v>
      </c>
      <c r="J45" s="67">
        <v>642</v>
      </c>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c r="J47" s="67"/>
    </row>
    <row r="48" spans="1:10" s="2" customFormat="1" ht="14.25" customHeight="1">
      <c r="A48" s="385" t="s">
        <v>940</v>
      </c>
      <c r="B48" s="385"/>
      <c r="C48" s="385"/>
      <c r="D48" s="385"/>
      <c r="E48" s="385"/>
      <c r="F48" s="385"/>
      <c r="G48" s="15">
        <v>167</v>
      </c>
      <c r="H48" s="16"/>
      <c r="I48" s="66">
        <f>SUM(I49:I55)</f>
        <v>5948</v>
      </c>
      <c r="J48" s="66">
        <f>SUM(J49:J55)</f>
        <v>18541</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v>4792</v>
      </c>
      <c r="J51" s="67">
        <v>16730</v>
      </c>
    </row>
    <row r="52" spans="1:10" s="2" customFormat="1" ht="14.25" customHeight="1">
      <c r="A52" s="407" t="s">
        <v>1769</v>
      </c>
      <c r="B52" s="407"/>
      <c r="C52" s="407"/>
      <c r="D52" s="407"/>
      <c r="E52" s="407"/>
      <c r="F52" s="407"/>
      <c r="G52" s="15">
        <v>171</v>
      </c>
      <c r="H52" s="16"/>
      <c r="I52" s="67">
        <v>366</v>
      </c>
      <c r="J52" s="67">
        <v>311</v>
      </c>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v>790</v>
      </c>
      <c r="J55" s="67">
        <v>1500</v>
      </c>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9787647</v>
      </c>
      <c r="J60" s="66">
        <f>J8+J37+J56+J57</f>
        <v>10946023</v>
      </c>
    </row>
    <row r="61" spans="1:10" s="2" customFormat="1" ht="14.25" customHeight="1">
      <c r="A61" s="385" t="s">
        <v>942</v>
      </c>
      <c r="B61" s="385"/>
      <c r="C61" s="385"/>
      <c r="D61" s="385"/>
      <c r="E61" s="385"/>
      <c r="F61" s="385"/>
      <c r="G61" s="15">
        <v>180</v>
      </c>
      <c r="H61" s="16"/>
      <c r="I61" s="66">
        <f>I14+I48+I58+I59</f>
        <v>9694862</v>
      </c>
      <c r="J61" s="66">
        <f>J14+J48+J58+J59</f>
        <v>10810909</v>
      </c>
    </row>
    <row r="62" spans="1:12" s="2" customFormat="1" ht="14.25" customHeight="1">
      <c r="A62" s="385" t="s">
        <v>943</v>
      </c>
      <c r="B62" s="385"/>
      <c r="C62" s="385"/>
      <c r="D62" s="385"/>
      <c r="E62" s="385"/>
      <c r="F62" s="385"/>
      <c r="G62" s="15">
        <v>181</v>
      </c>
      <c r="H62" s="16"/>
      <c r="I62" s="66">
        <f>I60-I61</f>
        <v>92785</v>
      </c>
      <c r="J62" s="66">
        <f>J60-J61</f>
        <v>135114</v>
      </c>
      <c r="L62" s="2" t="s">
        <v>82</v>
      </c>
    </row>
    <row r="63" spans="1:10" s="2" customFormat="1" ht="14.25" customHeight="1">
      <c r="A63" s="407" t="s">
        <v>944</v>
      </c>
      <c r="B63" s="407"/>
      <c r="C63" s="407"/>
      <c r="D63" s="407"/>
      <c r="E63" s="407"/>
      <c r="F63" s="407"/>
      <c r="G63" s="15">
        <v>182</v>
      </c>
      <c r="H63" s="16"/>
      <c r="I63" s="66">
        <f>IF(I60&gt;I61,I60-I61,0)</f>
        <v>92785</v>
      </c>
      <c r="J63" s="66">
        <f>IF(J60&gt;J61,J60-J61,0)</f>
        <v>135114</v>
      </c>
    </row>
    <row r="64" spans="1:10" s="2" customFormat="1" ht="14.25" customHeight="1">
      <c r="A64" s="407" t="s">
        <v>945</v>
      </c>
      <c r="B64" s="407"/>
      <c r="C64" s="407"/>
      <c r="D64" s="407"/>
      <c r="E64" s="407"/>
      <c r="F64" s="407"/>
      <c r="G64" s="15">
        <v>183</v>
      </c>
      <c r="H64" s="16"/>
      <c r="I64" s="66">
        <f>IF(I61&gt;I60,I61-I60,0)</f>
        <v>0</v>
      </c>
      <c r="J64" s="66">
        <f>IF(J61&gt;J60,J61-J60,0)</f>
        <v>0</v>
      </c>
    </row>
    <row r="65" spans="1:12" s="2" customFormat="1" ht="14.25" customHeight="1">
      <c r="A65" s="385" t="s">
        <v>111</v>
      </c>
      <c r="B65" s="385"/>
      <c r="C65" s="385"/>
      <c r="D65" s="385"/>
      <c r="E65" s="385"/>
      <c r="F65" s="385"/>
      <c r="G65" s="15">
        <v>184</v>
      </c>
      <c r="H65" s="16"/>
      <c r="I65" s="67">
        <v>23195</v>
      </c>
      <c r="J65" s="67">
        <v>29439</v>
      </c>
      <c r="L65" s="2" t="s">
        <v>82</v>
      </c>
    </row>
    <row r="66" spans="1:12" s="2" customFormat="1" ht="14.25" customHeight="1">
      <c r="A66" s="385" t="s">
        <v>946</v>
      </c>
      <c r="B66" s="385"/>
      <c r="C66" s="385"/>
      <c r="D66" s="385"/>
      <c r="E66" s="385"/>
      <c r="F66" s="385"/>
      <c r="G66" s="15">
        <v>185</v>
      </c>
      <c r="H66" s="16"/>
      <c r="I66" s="66">
        <f>I62-I65</f>
        <v>69590</v>
      </c>
      <c r="J66" s="66">
        <f>J62-J65</f>
        <v>105675</v>
      </c>
      <c r="L66" s="2" t="s">
        <v>82</v>
      </c>
    </row>
    <row r="67" spans="1:10" s="2" customFormat="1" ht="14.25" customHeight="1">
      <c r="A67" s="407" t="s">
        <v>947</v>
      </c>
      <c r="B67" s="407"/>
      <c r="C67" s="407"/>
      <c r="D67" s="407"/>
      <c r="E67" s="407"/>
      <c r="F67" s="407"/>
      <c r="G67" s="15">
        <v>186</v>
      </c>
      <c r="H67" s="16"/>
      <c r="I67" s="66">
        <f>IF(I66&gt;0,I66,0)</f>
        <v>69590</v>
      </c>
      <c r="J67" s="66">
        <f>IF(J66&gt;0,J66,0)</f>
        <v>105675</v>
      </c>
    </row>
    <row r="68" spans="1:10" s="2" customFormat="1" ht="14.25" customHeight="1">
      <c r="A68" s="412" t="s">
        <v>948</v>
      </c>
      <c r="B68" s="412"/>
      <c r="C68" s="412"/>
      <c r="D68" s="412"/>
      <c r="E68" s="412"/>
      <c r="F68" s="412"/>
      <c r="G68" s="17">
        <v>187</v>
      </c>
      <c r="H68" s="18"/>
      <c r="I68" s="81">
        <f>IF(I66&lt;0,-I66,0)</f>
        <v>0</v>
      </c>
      <c r="J68" s="81">
        <f>IF(J66&lt;0,-J66,0)</f>
        <v>0</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3" activePane="bottomLeft" state="frozen"/>
      <selection pane="topLeft" activeCell="A1" sqref="A1"/>
      <selection pane="bottomLeft" activeCell="J35" sqref="J3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40" t="s">
        <v>2715</v>
      </c>
      <c r="B2" s="441"/>
      <c r="C2" s="441"/>
      <c r="D2" s="441"/>
      <c r="E2" s="441"/>
      <c r="F2" s="441"/>
      <c r="G2" s="441"/>
      <c r="H2" s="441"/>
      <c r="I2" s="442"/>
      <c r="J2" s="392" t="s">
        <v>84</v>
      </c>
      <c r="Q2" s="70">
        <f>IF(MAX(I9:I88)&gt;0,1,0)</f>
        <v>1</v>
      </c>
      <c r="R2" s="69" t="s">
        <v>77</v>
      </c>
    </row>
    <row r="3" spans="1:18" s="2" customFormat="1" ht="19.5" customHeight="1" thickBot="1">
      <c r="A3" s="426" t="str">
        <f>"za razdoblje "&amp;IF(RefStr!C4&lt;&gt;"",TEXT(RefStr!C4,"DD.MM.YYYY."),"__.__.____.")&amp;" do "&amp;IF(RefStr!F4&lt;&gt;"",TEXT(RefStr!F4,"DD.MM.YYYY."),"__.__.____.")</f>
        <v>za razdoblje 01.01.2022. do 31.12.2022.</v>
      </c>
      <c r="B3" s="427"/>
      <c r="C3" s="427"/>
      <c r="D3" s="427"/>
      <c r="E3" s="427"/>
      <c r="F3" s="427"/>
      <c r="G3" s="427"/>
      <c r="H3" s="427"/>
      <c r="I3" s="428"/>
      <c r="J3" s="430"/>
      <c r="Q3" s="70">
        <f>IF(MAX(J9:J88)&gt;0,1,0)</f>
        <v>1</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39751563435; KD KOSTRENA</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2">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c r="J9" s="89"/>
    </row>
    <row r="10" spans="1:10" s="2" customFormat="1" ht="13.5" customHeight="1">
      <c r="A10" s="407" t="s">
        <v>2902</v>
      </c>
      <c r="B10" s="407"/>
      <c r="C10" s="407"/>
      <c r="D10" s="407"/>
      <c r="E10" s="407"/>
      <c r="F10" s="407"/>
      <c r="G10" s="407"/>
      <c r="H10" s="15">
        <v>229</v>
      </c>
      <c r="I10" s="73">
        <v>833</v>
      </c>
      <c r="J10" s="73">
        <v>833</v>
      </c>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c r="J25" s="90"/>
    </row>
    <row r="26" spans="1:10" s="2" customFormat="1" ht="24.75" customHeight="1">
      <c r="A26" s="407" t="s">
        <v>1009</v>
      </c>
      <c r="B26" s="407"/>
      <c r="C26" s="407"/>
      <c r="D26" s="407"/>
      <c r="E26" s="407"/>
      <c r="F26" s="407"/>
      <c r="G26" s="443"/>
      <c r="H26" s="15">
        <v>242</v>
      </c>
      <c r="I26" s="73">
        <v>6254312</v>
      </c>
      <c r="J26" s="73">
        <v>8325709</v>
      </c>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c r="J28" s="73"/>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c r="J34" s="73"/>
    </row>
    <row r="35" spans="1:10" s="2" customFormat="1" ht="36" customHeight="1">
      <c r="A35" s="412" t="s">
        <v>2914</v>
      </c>
      <c r="B35" s="412"/>
      <c r="C35" s="412"/>
      <c r="D35" s="412"/>
      <c r="E35" s="412"/>
      <c r="F35" s="412"/>
      <c r="G35" s="429"/>
      <c r="H35" s="17">
        <v>251</v>
      </c>
      <c r="I35" s="74">
        <v>1041486</v>
      </c>
      <c r="J35" s="74">
        <v>1509321</v>
      </c>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v>7295797</v>
      </c>
      <c r="J37" s="90">
        <v>8325709</v>
      </c>
    </row>
    <row r="38" spans="1:10" s="2" customFormat="1" ht="13.5" customHeight="1">
      <c r="A38" s="412" t="s">
        <v>802</v>
      </c>
      <c r="B38" s="412"/>
      <c r="C38" s="412"/>
      <c r="D38" s="412"/>
      <c r="E38" s="412"/>
      <c r="F38" s="412"/>
      <c r="G38" s="429"/>
      <c r="H38" s="17">
        <v>253</v>
      </c>
      <c r="I38" s="74"/>
      <c r="J38" s="74"/>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c r="J43" s="73"/>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v>1041486</v>
      </c>
      <c r="J45" s="73">
        <v>1509321</v>
      </c>
    </row>
    <row r="46" spans="1:10" s="2" customFormat="1" ht="24.75" customHeight="1">
      <c r="A46" s="407" t="s">
        <v>2922</v>
      </c>
      <c r="B46" s="407"/>
      <c r="C46" s="407"/>
      <c r="D46" s="407"/>
      <c r="E46" s="407"/>
      <c r="F46" s="407"/>
      <c r="G46" s="443"/>
      <c r="H46" s="15">
        <v>259</v>
      </c>
      <c r="I46" s="73"/>
      <c r="J46" s="73"/>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v>476903</v>
      </c>
      <c r="J50" s="73">
        <v>701744</v>
      </c>
    </row>
    <row r="51" spans="1:10" s="2" customFormat="1" ht="24.75" customHeight="1">
      <c r="A51" s="407" t="s">
        <v>1013</v>
      </c>
      <c r="B51" s="407"/>
      <c r="C51" s="407"/>
      <c r="D51" s="407"/>
      <c r="E51" s="407"/>
      <c r="F51" s="407"/>
      <c r="G51" s="443"/>
      <c r="H51" s="15">
        <v>263</v>
      </c>
      <c r="I51" s="73">
        <v>474475</v>
      </c>
      <c r="J51" s="73">
        <v>501652</v>
      </c>
    </row>
    <row r="52" spans="1:10" s="2" customFormat="1" ht="24.75" customHeight="1">
      <c r="A52" s="407" t="s">
        <v>1319</v>
      </c>
      <c r="B52" s="407"/>
      <c r="C52" s="407"/>
      <c r="D52" s="407"/>
      <c r="E52" s="407"/>
      <c r="F52" s="407"/>
      <c r="G52" s="443"/>
      <c r="H52" s="15">
        <v>264</v>
      </c>
      <c r="I52" s="73"/>
      <c r="J52" s="73"/>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row>
    <row r="55" spans="1:10" s="2" customFormat="1" ht="13.5" customHeight="1">
      <c r="A55" s="407" t="s">
        <v>1673</v>
      </c>
      <c r="B55" s="407"/>
      <c r="C55" s="407"/>
      <c r="D55" s="407"/>
      <c r="E55" s="407"/>
      <c r="F55" s="407"/>
      <c r="G55" s="443"/>
      <c r="H55" s="15">
        <v>267</v>
      </c>
      <c r="I55" s="73"/>
      <c r="J55" s="73"/>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c r="J57" s="73"/>
    </row>
    <row r="58" spans="1:10" s="2" customFormat="1" ht="13.5" customHeight="1">
      <c r="A58" s="407" t="s">
        <v>1675</v>
      </c>
      <c r="B58" s="407"/>
      <c r="C58" s="407"/>
      <c r="D58" s="407"/>
      <c r="E58" s="407"/>
      <c r="F58" s="407"/>
      <c r="G58" s="443"/>
      <c r="H58" s="15">
        <v>270</v>
      </c>
      <c r="I58" s="73"/>
      <c r="J58" s="73"/>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v>120659</v>
      </c>
      <c r="J60" s="73">
        <v>143140</v>
      </c>
    </row>
    <row r="61" spans="1:10" s="2" customFormat="1" ht="13.5" customHeight="1">
      <c r="A61" s="449" t="s">
        <v>1321</v>
      </c>
      <c r="B61" s="449"/>
      <c r="C61" s="449"/>
      <c r="D61" s="449"/>
      <c r="E61" s="449"/>
      <c r="F61" s="449"/>
      <c r="G61" s="450"/>
      <c r="H61" s="15">
        <v>273</v>
      </c>
      <c r="I61" s="73">
        <v>120659</v>
      </c>
      <c r="J61" s="73">
        <v>143140</v>
      </c>
    </row>
    <row r="62" spans="1:10" s="2" customFormat="1" ht="13.5" customHeight="1">
      <c r="A62" s="407" t="s">
        <v>1678</v>
      </c>
      <c r="B62" s="407"/>
      <c r="C62" s="407"/>
      <c r="D62" s="407"/>
      <c r="E62" s="407"/>
      <c r="F62" s="407"/>
      <c r="G62" s="443"/>
      <c r="H62" s="15">
        <v>274</v>
      </c>
      <c r="I62" s="73"/>
      <c r="J62" s="73"/>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c r="J64" s="73"/>
    </row>
    <row r="65" spans="1:10" s="2" customFormat="1" ht="13.5" customHeight="1">
      <c r="A65" s="407" t="s">
        <v>1318</v>
      </c>
      <c r="B65" s="407"/>
      <c r="C65" s="407"/>
      <c r="D65" s="407"/>
      <c r="E65" s="407"/>
      <c r="F65" s="407"/>
      <c r="G65" s="443"/>
      <c r="H65" s="15">
        <v>277</v>
      </c>
      <c r="I65" s="73">
        <v>272873</v>
      </c>
      <c r="J65" s="73">
        <v>652525</v>
      </c>
    </row>
    <row r="66" spans="1:10" s="2" customFormat="1" ht="13.5" customHeight="1">
      <c r="A66" s="449" t="s">
        <v>1516</v>
      </c>
      <c r="B66" s="449"/>
      <c r="C66" s="449"/>
      <c r="D66" s="449"/>
      <c r="E66" s="449"/>
      <c r="F66" s="449"/>
      <c r="G66" s="450"/>
      <c r="H66" s="15">
        <v>278</v>
      </c>
      <c r="I66" s="73">
        <v>9500</v>
      </c>
      <c r="J66" s="73">
        <v>3000</v>
      </c>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v>26</v>
      </c>
      <c r="J73" s="90">
        <v>36</v>
      </c>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v>4792</v>
      </c>
      <c r="J76" s="74">
        <v>16730</v>
      </c>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1549508</v>
      </c>
      <c r="J78" s="220">
        <f>SUM(J79:J82)</f>
        <v>745187</v>
      </c>
    </row>
    <row r="79" spans="1:10" s="2" customFormat="1" ht="13.5" customHeight="1">
      <c r="A79" s="407" t="s">
        <v>352</v>
      </c>
      <c r="B79" s="407"/>
      <c r="C79" s="407"/>
      <c r="D79" s="407"/>
      <c r="E79" s="407"/>
      <c r="F79" s="407"/>
      <c r="G79" s="443"/>
      <c r="H79" s="15">
        <v>289</v>
      </c>
      <c r="I79" s="73"/>
      <c r="J79" s="73"/>
    </row>
    <row r="80" spans="1:10" s="2" customFormat="1" ht="13.5" customHeight="1">
      <c r="A80" s="407" t="s">
        <v>353</v>
      </c>
      <c r="B80" s="407"/>
      <c r="C80" s="407"/>
      <c r="D80" s="407"/>
      <c r="E80" s="407"/>
      <c r="F80" s="407"/>
      <c r="G80" s="443"/>
      <c r="H80" s="15">
        <v>290</v>
      </c>
      <c r="I80" s="73">
        <v>1549508</v>
      </c>
      <c r="J80" s="73">
        <v>745187</v>
      </c>
    </row>
    <row r="81" spans="1:10" s="2" customFormat="1" ht="13.5" customHeight="1">
      <c r="A81" s="407" t="s">
        <v>2082</v>
      </c>
      <c r="B81" s="407"/>
      <c r="C81" s="407"/>
      <c r="D81" s="407"/>
      <c r="E81" s="407"/>
      <c r="F81" s="407"/>
      <c r="G81" s="443"/>
      <c r="H81" s="15">
        <v>291</v>
      </c>
      <c r="I81" s="73"/>
      <c r="J81" s="73"/>
    </row>
    <row r="82" spans="1:10" s="2" customFormat="1" ht="36" customHeight="1">
      <c r="A82" s="407" t="s">
        <v>2085</v>
      </c>
      <c r="B82" s="407"/>
      <c r="C82" s="407"/>
      <c r="D82" s="407"/>
      <c r="E82" s="407"/>
      <c r="F82" s="407"/>
      <c r="G82" s="443"/>
      <c r="H82" s="15">
        <v>292</v>
      </c>
      <c r="I82" s="73"/>
      <c r="J82" s="73"/>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v>1549508</v>
      </c>
      <c r="J84" s="73">
        <v>745187</v>
      </c>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c r="J88" s="92"/>
      <c r="M88" s="84"/>
    </row>
    <row r="89" spans="15:16" ht="4.5" customHeight="1">
      <c r="O89" s="2"/>
      <c r="P89" s="2"/>
    </row>
  </sheetData>
  <sheetProtection password="C79A" sheet="1" objects="1" scenarios="1"/>
  <mergeCells count="87">
    <mergeCell ref="A69:G69"/>
    <mergeCell ref="A81:G81"/>
    <mergeCell ref="A82:G82"/>
    <mergeCell ref="A70:G70"/>
    <mergeCell ref="A72:J72"/>
    <mergeCell ref="A74:G74"/>
    <mergeCell ref="A75:G75"/>
    <mergeCell ref="A73:G73"/>
    <mergeCell ref="A84:G84"/>
    <mergeCell ref="A88:G88"/>
    <mergeCell ref="A71:G71"/>
    <mergeCell ref="A79:G79"/>
    <mergeCell ref="A80:G80"/>
    <mergeCell ref="A78:G78"/>
    <mergeCell ref="A76:G76"/>
    <mergeCell ref="A77:J77"/>
    <mergeCell ref="A87:J87"/>
    <mergeCell ref="A86:G86"/>
    <mergeCell ref="A47:G47"/>
    <mergeCell ref="A57:G57"/>
    <mergeCell ref="A58:G58"/>
    <mergeCell ref="A49:G49"/>
    <mergeCell ref="A50:G50"/>
    <mergeCell ref="A8:J8"/>
    <mergeCell ref="A9:G9"/>
    <mergeCell ref="A10:G10"/>
    <mergeCell ref="A11:G11"/>
    <mergeCell ref="A54:G54"/>
    <mergeCell ref="A62:G62"/>
    <mergeCell ref="A63:G63"/>
    <mergeCell ref="A61:G61"/>
    <mergeCell ref="A64:G64"/>
    <mergeCell ref="A68:G68"/>
    <mergeCell ref="A67:G67"/>
    <mergeCell ref="A65:G65"/>
    <mergeCell ref="A85:G85"/>
    <mergeCell ref="A83:G83"/>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0" t="s">
        <v>1781</v>
      </c>
      <c r="B2" s="441"/>
      <c r="C2" s="441"/>
      <c r="D2" s="441"/>
      <c r="E2" s="441"/>
      <c r="F2" s="441"/>
      <c r="G2" s="441"/>
      <c r="H2" s="441"/>
      <c r="I2" s="458"/>
      <c r="J2" s="392" t="s">
        <v>85</v>
      </c>
      <c r="Q2" s="70">
        <f>IF(OR(MIN(I8:I60)&lt;0,MAX(I8:I60)&gt;0),1,0)</f>
        <v>0</v>
      </c>
      <c r="R2" s="69" t="s">
        <v>77</v>
      </c>
    </row>
    <row r="3" spans="1:18" s="2" customFormat="1" ht="19.5" customHeight="1" thickBot="1">
      <c r="A3" s="426" t="str">
        <f>"u razdoblju "&amp;IF(RefStr!C4&lt;&gt;"",TEXT(RefStr!C4,"DD.MM.YYYY."),"__.__.____.")&amp;" do "&amp;IF(RefStr!F4&lt;&gt;"",TEXT(RefStr!F4,"DD.MM.YYYY."),"__.__.____.")</f>
        <v>u razdoblju 01.01.2022. do 31.12.2022.</v>
      </c>
      <c r="B3" s="427"/>
      <c r="C3" s="427"/>
      <c r="D3" s="427"/>
      <c r="E3" s="427"/>
      <c r="F3" s="427"/>
      <c r="G3" s="427"/>
      <c r="H3" s="427"/>
      <c r="I3" s="459"/>
      <c r="J3" s="430"/>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39751563435; KD KOSTRENA</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49" t="s">
        <v>416</v>
      </c>
      <c r="B11" s="449"/>
      <c r="C11" s="449"/>
      <c r="D11" s="449"/>
      <c r="E11" s="449"/>
      <c r="F11" s="449"/>
      <c r="G11" s="15">
        <v>3</v>
      </c>
      <c r="H11" s="19"/>
      <c r="I11" s="122"/>
      <c r="J11" s="122"/>
      <c r="L11" s="2" t="s">
        <v>1382</v>
      </c>
    </row>
    <row r="12" spans="1:10" s="2" customFormat="1" ht="24.75" customHeight="1">
      <c r="A12" s="449" t="s">
        <v>883</v>
      </c>
      <c r="B12" s="449"/>
      <c r="C12" s="449"/>
      <c r="D12" s="449"/>
      <c r="E12" s="449"/>
      <c r="F12" s="449"/>
      <c r="G12" s="15">
        <v>4</v>
      </c>
      <c r="H12" s="19"/>
      <c r="I12" s="122"/>
      <c r="J12" s="122"/>
    </row>
    <row r="13" spans="1:10" s="2" customFormat="1" ht="24.75" customHeight="1">
      <c r="A13" s="449" t="s">
        <v>884</v>
      </c>
      <c r="B13" s="449"/>
      <c r="C13" s="449"/>
      <c r="D13" s="449"/>
      <c r="E13" s="449"/>
      <c r="F13" s="449"/>
      <c r="G13" s="15">
        <v>5</v>
      </c>
      <c r="H13" s="19"/>
      <c r="I13" s="122"/>
      <c r="J13" s="122"/>
    </row>
    <row r="14" spans="1:12" s="2" customFormat="1" ht="13.5" customHeight="1">
      <c r="A14" s="449" t="s">
        <v>417</v>
      </c>
      <c r="B14" s="449"/>
      <c r="C14" s="449"/>
      <c r="D14" s="449"/>
      <c r="E14" s="449"/>
      <c r="F14" s="449"/>
      <c r="G14" s="15">
        <v>6</v>
      </c>
      <c r="H14" s="19"/>
      <c r="I14" s="122"/>
      <c r="J14" s="122"/>
      <c r="L14" s="2" t="s">
        <v>82</v>
      </c>
    </row>
    <row r="15" spans="1:12" s="2" customFormat="1" ht="13.5" customHeight="1">
      <c r="A15" s="449" t="s">
        <v>418</v>
      </c>
      <c r="B15" s="449"/>
      <c r="C15" s="449"/>
      <c r="D15" s="449"/>
      <c r="E15" s="449"/>
      <c r="F15" s="449"/>
      <c r="G15" s="15">
        <v>7</v>
      </c>
      <c r="H15" s="19"/>
      <c r="I15" s="122"/>
      <c r="J15" s="122"/>
      <c r="L15" s="2" t="s">
        <v>1382</v>
      </c>
    </row>
    <row r="16" spans="1:10" s="2" customFormat="1" ht="13.5" customHeight="1">
      <c r="A16" s="449" t="s">
        <v>419</v>
      </c>
      <c r="B16" s="449"/>
      <c r="C16" s="449"/>
      <c r="D16" s="449"/>
      <c r="E16" s="449"/>
      <c r="F16" s="449"/>
      <c r="G16" s="15">
        <v>8</v>
      </c>
      <c r="H16" s="19"/>
      <c r="I16" s="122"/>
      <c r="J16" s="122"/>
    </row>
    <row r="17" spans="1:10" s="2" customFormat="1" ht="13.5" customHeight="1">
      <c r="A17" s="449" t="s">
        <v>420</v>
      </c>
      <c r="B17" s="449"/>
      <c r="C17" s="449"/>
      <c r="D17" s="449"/>
      <c r="E17" s="449"/>
      <c r="F17" s="449"/>
      <c r="G17" s="15">
        <v>9</v>
      </c>
      <c r="H17" s="19"/>
      <c r="I17" s="122"/>
      <c r="J17" s="122"/>
    </row>
    <row r="18" spans="1:10" s="2" customFormat="1" ht="13.5" customHeight="1">
      <c r="A18" s="449" t="s">
        <v>882</v>
      </c>
      <c r="B18" s="449"/>
      <c r="C18" s="449"/>
      <c r="D18" s="449"/>
      <c r="E18" s="449"/>
      <c r="F18" s="449"/>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49" t="s">
        <v>795</v>
      </c>
      <c r="B21" s="449"/>
      <c r="C21" s="449"/>
      <c r="D21" s="449"/>
      <c r="E21" s="449"/>
      <c r="F21" s="449"/>
      <c r="G21" s="15">
        <v>13</v>
      </c>
      <c r="H21" s="19"/>
      <c r="I21" s="122"/>
      <c r="J21" s="122"/>
    </row>
    <row r="22" spans="1:10" s="2" customFormat="1" ht="13.5" customHeight="1">
      <c r="A22" s="449" t="s">
        <v>796</v>
      </c>
      <c r="B22" s="449"/>
      <c r="C22" s="449"/>
      <c r="D22" s="449"/>
      <c r="E22" s="449"/>
      <c r="F22" s="449"/>
      <c r="G22" s="15">
        <v>14</v>
      </c>
      <c r="H22" s="19"/>
      <c r="I22" s="122"/>
      <c r="J22" s="122"/>
    </row>
    <row r="23" spans="1:10" s="2" customFormat="1" ht="13.5" customHeight="1">
      <c r="A23" s="449" t="s">
        <v>797</v>
      </c>
      <c r="B23" s="449"/>
      <c r="C23" s="449"/>
      <c r="D23" s="449"/>
      <c r="E23" s="449"/>
      <c r="F23" s="449"/>
      <c r="G23" s="15">
        <v>15</v>
      </c>
      <c r="H23" s="19"/>
      <c r="I23" s="122"/>
      <c r="J23" s="122"/>
    </row>
    <row r="24" spans="1:10" s="2" customFormat="1" ht="13.5" customHeight="1">
      <c r="A24" s="449" t="s">
        <v>798</v>
      </c>
      <c r="B24" s="449"/>
      <c r="C24" s="449"/>
      <c r="D24" s="449"/>
      <c r="E24" s="449"/>
      <c r="F24" s="449"/>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53" t="s">
        <v>1951</v>
      </c>
      <c r="B28" s="453"/>
      <c r="C28" s="453"/>
      <c r="D28" s="453"/>
      <c r="E28" s="453"/>
      <c r="F28" s="453"/>
      <c r="G28" s="17">
        <v>20</v>
      </c>
      <c r="H28" s="20"/>
      <c r="I28" s="123">
        <f>SUM(I25:I27)</f>
        <v>0</v>
      </c>
      <c r="J28" s="123">
        <f>SUM(J25:J27)</f>
        <v>0</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53" t="s">
        <v>16</v>
      </c>
      <c r="B43" s="453"/>
      <c r="C43" s="453"/>
      <c r="D43" s="453"/>
      <c r="E43" s="453"/>
      <c r="F43" s="453"/>
      <c r="G43" s="17">
        <v>34</v>
      </c>
      <c r="H43" s="20"/>
      <c r="I43" s="83">
        <f>I36+I42</f>
        <v>0</v>
      </c>
      <c r="J43" s="83">
        <f>J36+J42</f>
        <v>0</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53" t="s">
        <v>1417</v>
      </c>
      <c r="B60" s="453"/>
      <c r="C60" s="453"/>
      <c r="D60" s="453"/>
      <c r="E60" s="453"/>
      <c r="F60" s="453"/>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0" t="s">
        <v>1782</v>
      </c>
      <c r="B2" s="441"/>
      <c r="C2" s="441"/>
      <c r="D2" s="441"/>
      <c r="E2" s="441"/>
      <c r="F2" s="441"/>
      <c r="G2" s="441"/>
      <c r="H2" s="441"/>
      <c r="I2" s="442"/>
      <c r="J2" s="392" t="s">
        <v>86</v>
      </c>
      <c r="Q2" s="70">
        <f>IF(OR(MIN(I8:I54)&lt;0,MAX(I8:I54)&gt;0),1,0)</f>
        <v>0</v>
      </c>
      <c r="R2" s="69" t="s">
        <v>77</v>
      </c>
    </row>
    <row r="3" spans="1:18" s="2" customFormat="1" ht="19.5" customHeight="1" thickBot="1">
      <c r="A3" s="426" t="str">
        <f>"u razdoblju "&amp;IF(RefStr!C4&lt;&gt;"",TEXT(RefStr!C4,"DD.MM.YYYY."),"__.__.____.")&amp;" do "&amp;IF(RefStr!F4&lt;&gt;"",TEXT(RefStr!F4,"DD.MM.YYYY."),"__.__.____.")</f>
        <v>u razdoblju 01.01.2022. do 31.12.2022.</v>
      </c>
      <c r="B3" s="427"/>
      <c r="C3" s="427"/>
      <c r="D3" s="427"/>
      <c r="E3" s="427"/>
      <c r="F3" s="427"/>
      <c r="G3" s="427"/>
      <c r="H3" s="427"/>
      <c r="I3" s="428"/>
      <c r="J3" s="430"/>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39751563435; KD KOSTRENA</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53" t="s">
        <v>2814</v>
      </c>
      <c r="B22" s="453"/>
      <c r="C22" s="453"/>
      <c r="D22" s="453"/>
      <c r="E22" s="453"/>
      <c r="F22" s="453"/>
      <c r="G22" s="17">
        <v>14</v>
      </c>
      <c r="H22" s="20"/>
      <c r="I22" s="83">
        <f>I14+I21</f>
        <v>0</v>
      </c>
      <c r="J22" s="83">
        <f>J14+J21</f>
        <v>0</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53" t="s">
        <v>2262</v>
      </c>
      <c r="B37" s="453"/>
      <c r="C37" s="453"/>
      <c r="D37" s="453"/>
      <c r="E37" s="453"/>
      <c r="F37" s="453"/>
      <c r="G37" s="17">
        <v>28</v>
      </c>
      <c r="H37" s="20"/>
      <c r="I37" s="83">
        <f>I30+I36</f>
        <v>0</v>
      </c>
      <c r="J37" s="83">
        <f>J30+J36</f>
        <v>0</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53" t="s">
        <v>2267</v>
      </c>
      <c r="B54" s="453"/>
      <c r="C54" s="453"/>
      <c r="D54" s="453"/>
      <c r="E54" s="453"/>
      <c r="F54" s="453"/>
      <c r="G54" s="17">
        <v>44</v>
      </c>
      <c r="H54" s="20"/>
      <c r="I54" s="83">
        <f>I52+I53</f>
        <v>0</v>
      </c>
      <c r="J54" s="83">
        <f>J52+J53</f>
        <v>0</v>
      </c>
      <c r="L54" s="2" t="s">
        <v>1382</v>
      </c>
    </row>
    <row r="55" ht="4.5" customHeight="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9" t="s">
        <v>2039</v>
      </c>
      <c r="B2" s="489"/>
      <c r="C2" s="489"/>
      <c r="D2" s="489"/>
      <c r="E2" s="489"/>
      <c r="F2" s="489"/>
      <c r="G2" s="490"/>
      <c r="H2" s="490"/>
      <c r="I2" s="131"/>
      <c r="J2" s="131"/>
      <c r="K2" s="131"/>
      <c r="L2" s="131"/>
      <c r="M2" s="131"/>
      <c r="N2" s="131"/>
      <c r="O2" s="132"/>
      <c r="P2" s="392" t="s">
        <v>87</v>
      </c>
      <c r="Q2" s="471"/>
      <c r="R2" s="471"/>
      <c r="S2" s="471"/>
      <c r="T2" s="471"/>
      <c r="U2" s="471"/>
      <c r="V2" s="471"/>
      <c r="W2" s="471"/>
      <c r="X2" s="471"/>
      <c r="Y2" s="472"/>
      <c r="Z2" s="392" t="s">
        <v>87</v>
      </c>
      <c r="AC2" s="3">
        <f>IF(OR(MAX(H10:Z33)&lt;&gt;0,MIN(H10:Z33)&lt;&gt;0),1,0)</f>
        <v>0</v>
      </c>
      <c r="AD2" s="3" t="s">
        <v>89</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30"/>
      <c r="Q3" s="471"/>
      <c r="R3" s="471"/>
      <c r="S3" s="471"/>
      <c r="T3" s="471"/>
      <c r="U3" s="471"/>
      <c r="V3" s="471"/>
      <c r="W3" s="471"/>
      <c r="X3" s="471"/>
      <c r="Y3" s="472"/>
      <c r="Z3" s="481"/>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6" t="str">
        <f>"Obveznik: "&amp;IF(RefStr!C27&lt;&gt;"",RefStr!C27,"________")&amp;"; "&amp;IF(RefStr!C29&lt;&gt;"",RefStr!C29,"________________________________________________________"&amp;"; "&amp;IF(RefStr!F31&lt;&gt;"",RefStr!F31,"_______________"))</f>
        <v>Obveznik: 39751563435; KD KOSTRENA</v>
      </c>
      <c r="B5" s="477"/>
      <c r="C5" s="477"/>
      <c r="D5" s="477"/>
      <c r="E5" s="477"/>
      <c r="F5" s="477"/>
      <c r="G5" s="477"/>
      <c r="H5" s="477"/>
      <c r="I5" s="477"/>
      <c r="J5" s="477"/>
      <c r="K5" s="477"/>
      <c r="L5" s="477"/>
      <c r="M5" s="477"/>
      <c r="N5" s="477"/>
      <c r="O5" s="478"/>
      <c r="P5" s="478"/>
      <c r="Q5" s="478"/>
      <c r="R5" s="478"/>
      <c r="S5" s="478"/>
      <c r="T5" s="478"/>
      <c r="U5" s="478"/>
      <c r="V5" s="478"/>
      <c r="W5" s="478"/>
      <c r="X5" s="478"/>
      <c r="Y5" s="478"/>
      <c r="Z5" s="479"/>
      <c r="AC5" s="3">
        <f>IF(OR(MAX(Y10:Y33)&lt;&gt;0,MIN(Y10:Y33)&lt;&gt;0),1,0)</f>
        <v>0</v>
      </c>
      <c r="AD5" s="12" t="s">
        <v>1509</v>
      </c>
    </row>
    <row r="6" spans="1:30" s="3" customFormat="1" ht="15" customHeight="1" thickBot="1">
      <c r="A6" s="454" t="s">
        <v>1293</v>
      </c>
      <c r="B6" s="486"/>
      <c r="C6" s="486"/>
      <c r="D6" s="486"/>
      <c r="E6" s="486"/>
      <c r="F6" s="486"/>
      <c r="G6" s="455" t="s">
        <v>1309</v>
      </c>
      <c r="H6" s="404" t="s">
        <v>717</v>
      </c>
      <c r="I6" s="455" t="s">
        <v>1291</v>
      </c>
      <c r="J6" s="455"/>
      <c r="K6" s="455"/>
      <c r="L6" s="455"/>
      <c r="M6" s="455"/>
      <c r="N6" s="455"/>
      <c r="O6" s="455"/>
      <c r="P6" s="455"/>
      <c r="Q6" s="455"/>
      <c r="R6" s="455"/>
      <c r="S6" s="455"/>
      <c r="T6" s="455"/>
      <c r="U6" s="455"/>
      <c r="V6" s="455"/>
      <c r="W6" s="455"/>
      <c r="X6" s="455"/>
      <c r="Y6" s="455" t="s">
        <v>90</v>
      </c>
      <c r="Z6" s="482" t="s">
        <v>1292</v>
      </c>
      <c r="AC6" s="3">
        <f>IF(OR(MAX(Y39:Y62)&lt;&gt;0,MIN(Y39:Y62)&lt;&gt;0),1,0)</f>
        <v>0</v>
      </c>
      <c r="AD6" s="12" t="s">
        <v>2604</v>
      </c>
    </row>
    <row r="7" spans="1:30" s="3" customFormat="1" ht="67.5" customHeight="1" thickBot="1">
      <c r="A7" s="487"/>
      <c r="B7" s="488"/>
      <c r="C7" s="488"/>
      <c r="D7" s="488"/>
      <c r="E7" s="488"/>
      <c r="F7" s="488"/>
      <c r="G7" s="480"/>
      <c r="H7" s="480"/>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0"/>
      <c r="Z7" s="483"/>
      <c r="AC7" s="3">
        <f>IF(RefStr!N19="MSFI",1,0)</f>
        <v>0</v>
      </c>
      <c r="AD7" s="12" t="s">
        <v>2196</v>
      </c>
    </row>
    <row r="8" spans="1:26" s="3" customFormat="1" ht="23.25" customHeight="1">
      <c r="A8" s="484">
        <v>1</v>
      </c>
      <c r="B8" s="485"/>
      <c r="C8" s="485"/>
      <c r="D8" s="485"/>
      <c r="E8" s="485"/>
      <c r="F8" s="485"/>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3" t="s">
        <v>1294</v>
      </c>
      <c r="B9" s="473"/>
      <c r="C9" s="473"/>
      <c r="D9" s="473"/>
      <c r="E9" s="473"/>
      <c r="F9" s="473"/>
      <c r="G9" s="473"/>
      <c r="H9" s="473"/>
      <c r="I9" s="473"/>
      <c r="J9" s="473"/>
      <c r="K9" s="473"/>
      <c r="L9" s="473"/>
      <c r="M9" s="473"/>
      <c r="N9" s="473"/>
      <c r="O9" s="474"/>
      <c r="P9" s="474"/>
      <c r="Q9" s="474"/>
      <c r="R9" s="474"/>
      <c r="S9" s="474"/>
      <c r="T9" s="474"/>
      <c r="U9" s="474"/>
      <c r="V9" s="474"/>
      <c r="W9" s="474"/>
      <c r="X9" s="474"/>
      <c r="Y9" s="474"/>
      <c r="Z9" s="475"/>
      <c r="AD9" s="134"/>
      <c r="AE9" s="135"/>
      <c r="AF9" s="134"/>
      <c r="AG9" s="135"/>
    </row>
    <row r="10" spans="1:33" s="3" customFormat="1" ht="13.5" customHeight="1">
      <c r="A10" s="467" t="s">
        <v>1174</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2:H2"/>
    <mergeCell ref="A15:F15"/>
    <mergeCell ref="A11:F11"/>
    <mergeCell ref="A12:F12"/>
    <mergeCell ref="A13:F13"/>
    <mergeCell ref="A14:F14"/>
    <mergeCell ref="Z6:Z7"/>
    <mergeCell ref="A10:F10"/>
    <mergeCell ref="A20:F20"/>
    <mergeCell ref="A21:F21"/>
    <mergeCell ref="A8:F8"/>
    <mergeCell ref="A6:F7"/>
    <mergeCell ref="A18:F18"/>
    <mergeCell ref="A19:F19"/>
    <mergeCell ref="Q2:Y2"/>
    <mergeCell ref="Q3:Y3"/>
    <mergeCell ref="A9:Z9"/>
    <mergeCell ref="A5:Z5"/>
    <mergeCell ref="G6:G7"/>
    <mergeCell ref="I6:X6"/>
    <mergeCell ref="Y6:Y7"/>
    <mergeCell ref="H6:H7"/>
    <mergeCell ref="Z2:Z3"/>
    <mergeCell ref="P2:P3"/>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Sanja Gajić</cp:lastModifiedBy>
  <cp:lastPrinted>2021-09-27T13:29:50Z</cp:lastPrinted>
  <dcterms:created xsi:type="dcterms:W3CDTF">2008-10-17T11:51:54Z</dcterms:created>
  <dcterms:modified xsi:type="dcterms:W3CDTF">2023-04-17T11:47:22Z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